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defaultThemeVersion="124226"/>
  <bookViews>
    <workbookView xWindow="120" yWindow="45" windowWidth="20730" windowHeight="9975" tabRatio="0" firstSheet="4" activeTab="4"/>
  </bookViews>
  <sheets>
    <sheet name="I-Tax Master" sheetId="12" r:id="rId1"/>
    <sheet name="Rules" sheetId="5" r:id="rId2"/>
    <sheet name="DDO " sheetId="6" r:id="rId3"/>
    <sheet name="Emp.-Detail" sheetId="4" r:id="rId4"/>
    <sheet name="Emp-1" sheetId="1" r:id="rId5"/>
    <sheet name="Emp-2" sheetId="13" r:id="rId6"/>
    <sheet name="Emp-3" sheetId="14" r:id="rId7"/>
    <sheet name="Emp-4" sheetId="15" r:id="rId8"/>
    <sheet name="Emp-5" sheetId="16" r:id="rId9"/>
    <sheet name="Emp-6" sheetId="17" r:id="rId10"/>
    <sheet name="Emp-7" sheetId="18" r:id="rId11"/>
    <sheet name="Emp-8" sheetId="19" r:id="rId12"/>
    <sheet name="Emp-9" sheetId="20" r:id="rId13"/>
    <sheet name="Emp-10" sheetId="21" r:id="rId14"/>
    <sheet name="Emp-11" sheetId="22" r:id="rId15"/>
    <sheet name="Emp-12" sheetId="23" r:id="rId16"/>
    <sheet name="Emp-13" sheetId="24" r:id="rId17"/>
    <sheet name="Emp-14" sheetId="25" r:id="rId18"/>
    <sheet name="Emp-15" sheetId="26" r:id="rId19"/>
    <sheet name="Emp-16" sheetId="27" r:id="rId20"/>
    <sheet name="Emp-17" sheetId="28" r:id="rId21"/>
    <sheet name="Emp-18" sheetId="29" r:id="rId22"/>
    <sheet name="Emp-19" sheetId="30" r:id="rId23"/>
    <sheet name="Emp-20" sheetId="31" r:id="rId24"/>
    <sheet name="Q-I" sheetId="2" r:id="rId25"/>
    <sheet name="Q-II" sheetId="7" r:id="rId26"/>
    <sheet name="Q-III" sheetId="9" r:id="rId27"/>
    <sheet name="Q-IV" sheetId="11" r:id="rId28"/>
    <sheet name="ALL-Q" sheetId="3" r:id="rId29"/>
  </sheets>
  <externalReferences>
    <externalReference r:id="rId30"/>
  </externalReferences>
  <definedNames>
    <definedName name="_xlnm._FilterDatabase" localSheetId="4" hidden="1">'Emp-1'!$A$2:$Q$55</definedName>
    <definedName name="_xlnm._FilterDatabase" localSheetId="13" hidden="1">'Emp-10'!$A$2:$Q$55</definedName>
    <definedName name="_xlnm._FilterDatabase" localSheetId="14" hidden="1">'Emp-11'!$A$2:$Q$55</definedName>
    <definedName name="_xlnm._FilterDatabase" localSheetId="15" hidden="1">'Emp-12'!$A$2:$Q$55</definedName>
    <definedName name="_xlnm._FilterDatabase" localSheetId="16" hidden="1">'Emp-13'!$A$2:$Q$55</definedName>
    <definedName name="_xlnm._FilterDatabase" localSheetId="17" hidden="1">'Emp-14'!$A$2:$Q$55</definedName>
    <definedName name="_xlnm._FilterDatabase" localSheetId="18" hidden="1">'Emp-15'!$A$2:$Q$55</definedName>
    <definedName name="_xlnm._FilterDatabase" localSheetId="19" hidden="1">'Emp-16'!$A$2:$Q$55</definedName>
    <definedName name="_xlnm._FilterDatabase" localSheetId="20" hidden="1">'Emp-17'!$A$2:$Q$55</definedName>
    <definedName name="_xlnm._FilterDatabase" localSheetId="21" hidden="1">'Emp-18'!$A$2:$Q$55</definedName>
    <definedName name="_xlnm._FilterDatabase" localSheetId="22" hidden="1">'Emp-19'!$A$2:$Q$55</definedName>
    <definedName name="_xlnm._FilterDatabase" localSheetId="5" hidden="1">'Emp-2'!$A$2:$Q$55</definedName>
    <definedName name="_xlnm._FilterDatabase" localSheetId="23" hidden="1">'Emp-20'!$A$2:$Q$55</definedName>
    <definedName name="_xlnm._FilterDatabase" localSheetId="6" hidden="1">'Emp-3'!$A$2:$Q$55</definedName>
    <definedName name="_xlnm._FilterDatabase" localSheetId="7" hidden="1">'Emp-4'!$A$2:$Q$55</definedName>
    <definedName name="_xlnm._FilterDatabase" localSheetId="8" hidden="1">'Emp-5'!$A$2:$Q$55</definedName>
    <definedName name="_xlnm._FilterDatabase" localSheetId="9" hidden="1">'Emp-6'!$A$2:$Q$55</definedName>
    <definedName name="_xlnm._FilterDatabase" localSheetId="10" hidden="1">'Emp-7'!$A$2:$Q$55</definedName>
    <definedName name="_xlnm._FilterDatabase" localSheetId="11" hidden="1">'Emp-8'!$A$2:$Q$55</definedName>
    <definedName name="_xlnm._FilterDatabase" localSheetId="12" hidden="1">'Emp-9'!$A$2:$Q$55</definedName>
  </definedNames>
  <calcPr calcId="124519"/>
</workbook>
</file>

<file path=xl/calcChain.xml><?xml version="1.0" encoding="utf-8"?>
<calcChain xmlns="http://schemas.openxmlformats.org/spreadsheetml/2006/main">
  <c r="D26" i="1"/>
  <c r="F10" i="12"/>
  <c r="V17" i="30"/>
  <c r="V17" i="21"/>
  <c r="V17" i="20"/>
  <c r="V17" i="19"/>
  <c r="AB37" i="31"/>
  <c r="AD37" s="1"/>
  <c r="AB36"/>
  <c r="AD36" s="1"/>
  <c r="AB35"/>
  <c r="AD35" s="1"/>
  <c r="AB89" s="1"/>
  <c r="AB34"/>
  <c r="AD34" s="1"/>
  <c r="AB33"/>
  <c r="AD33" s="1"/>
  <c r="AB32"/>
  <c r="AD32" s="1"/>
  <c r="AB31"/>
  <c r="AD31" s="1"/>
  <c r="AD30"/>
  <c r="AB30"/>
  <c r="AD29"/>
  <c r="AB29"/>
  <c r="AB37" i="30"/>
  <c r="AD37" s="1"/>
  <c r="AB36"/>
  <c r="AD36" s="1"/>
  <c r="AB35"/>
  <c r="AD35" s="1"/>
  <c r="AB89" s="1"/>
  <c r="AB34"/>
  <c r="AD34" s="1"/>
  <c r="AB33"/>
  <c r="AD33" s="1"/>
  <c r="AB32"/>
  <c r="AD32" s="1"/>
  <c r="AB31"/>
  <c r="AD31" s="1"/>
  <c r="AB30"/>
  <c r="AD30" s="1"/>
  <c r="AB29"/>
  <c r="AD29" s="1"/>
  <c r="AB37" i="29"/>
  <c r="AD37" s="1"/>
  <c r="AB36"/>
  <c r="AD36" s="1"/>
  <c r="AB35"/>
  <c r="AD35" s="1"/>
  <c r="AB89" s="1"/>
  <c r="AB34"/>
  <c r="AD34" s="1"/>
  <c r="AD33"/>
  <c r="AB33"/>
  <c r="AD32"/>
  <c r="AB32"/>
  <c r="AD31"/>
  <c r="AB31"/>
  <c r="AD30"/>
  <c r="AB30"/>
  <c r="AD29"/>
  <c r="AB29"/>
  <c r="AB37" i="28"/>
  <c r="AD37" s="1"/>
  <c r="AB36"/>
  <c r="AD36" s="1"/>
  <c r="AB35"/>
  <c r="AD35" s="1"/>
  <c r="AB89" s="1"/>
  <c r="AB34"/>
  <c r="AD34" s="1"/>
  <c r="AB33"/>
  <c r="AD33" s="1"/>
  <c r="AB32"/>
  <c r="AD32" s="1"/>
  <c r="AB31"/>
  <c r="AD31" s="1"/>
  <c r="AB30"/>
  <c r="AD30" s="1"/>
  <c r="AB84" s="1"/>
  <c r="AB29"/>
  <c r="AD29" s="1"/>
  <c r="AB37" i="27"/>
  <c r="AD37" s="1"/>
  <c r="AB36"/>
  <c r="AD36" s="1"/>
  <c r="AD35"/>
  <c r="AB89" s="1"/>
  <c r="AB35"/>
  <c r="AD34"/>
  <c r="AB34"/>
  <c r="AD33"/>
  <c r="AB33"/>
  <c r="AD32"/>
  <c r="AB32"/>
  <c r="AD31"/>
  <c r="AB31"/>
  <c r="AD30"/>
  <c r="AB84" s="1"/>
  <c r="AB30"/>
  <c r="AD29"/>
  <c r="AB29"/>
  <c r="AB37" i="26"/>
  <c r="AD37" s="1"/>
  <c r="AB36"/>
  <c r="AD36" s="1"/>
  <c r="AB35"/>
  <c r="AD35" s="1"/>
  <c r="AB89" s="1"/>
  <c r="AB34"/>
  <c r="AD34" s="1"/>
  <c r="AB33"/>
  <c r="AD33" s="1"/>
  <c r="AB32"/>
  <c r="AD32" s="1"/>
  <c r="AB31"/>
  <c r="AD31" s="1"/>
  <c r="AB30"/>
  <c r="AD30" s="1"/>
  <c r="AB84" s="1"/>
  <c r="AB29"/>
  <c r="AD29" s="1"/>
  <c r="AB37" i="25"/>
  <c r="AD37" s="1"/>
  <c r="AB36"/>
  <c r="AD36" s="1"/>
  <c r="AB90" s="1"/>
  <c r="AB35"/>
  <c r="AD35" s="1"/>
  <c r="AB89" s="1"/>
  <c r="AB34"/>
  <c r="AD34" s="1"/>
  <c r="AB33"/>
  <c r="AD33" s="1"/>
  <c r="AB32"/>
  <c r="AD32" s="1"/>
  <c r="AB31"/>
  <c r="AD31" s="1"/>
  <c r="AD30"/>
  <c r="AB30"/>
  <c r="AD29"/>
  <c r="AB29"/>
  <c r="AB37" i="24"/>
  <c r="AD37" s="1"/>
  <c r="AB36"/>
  <c r="AD36" s="1"/>
  <c r="AB35"/>
  <c r="AD35" s="1"/>
  <c r="AB89" s="1"/>
  <c r="AB34"/>
  <c r="AD34" s="1"/>
  <c r="AB88" s="1"/>
  <c r="AB33"/>
  <c r="AD33" s="1"/>
  <c r="AB32"/>
  <c r="AD32" s="1"/>
  <c r="AD31"/>
  <c r="AB31"/>
  <c r="AD30"/>
  <c r="AB30"/>
  <c r="AD29"/>
  <c r="AB29"/>
  <c r="AB37" i="23"/>
  <c r="AD37" s="1"/>
  <c r="AB36"/>
  <c r="AD36" s="1"/>
  <c r="AB35"/>
  <c r="AD35" s="1"/>
  <c r="AB89" s="1"/>
  <c r="AB34"/>
  <c r="AD34" s="1"/>
  <c r="AB33"/>
  <c r="AD33" s="1"/>
  <c r="AD32"/>
  <c r="AB32"/>
  <c r="AD31"/>
  <c r="AB31"/>
  <c r="AD30"/>
  <c r="AB30"/>
  <c r="AD29"/>
  <c r="AB29"/>
  <c r="AB37" i="22"/>
  <c r="AD37" s="1"/>
  <c r="AB36"/>
  <c r="AD36" s="1"/>
  <c r="AB35"/>
  <c r="AD35" s="1"/>
  <c r="AB89" s="1"/>
  <c r="AB34"/>
  <c r="AD34" s="1"/>
  <c r="AB33"/>
  <c r="AD33" s="1"/>
  <c r="AB32"/>
  <c r="AD32" s="1"/>
  <c r="AB86" s="1"/>
  <c r="AB31"/>
  <c r="AD31" s="1"/>
  <c r="AB30"/>
  <c r="AD30" s="1"/>
  <c r="AB29"/>
  <c r="AD29" s="1"/>
  <c r="AB37" i="21"/>
  <c r="AD37" s="1"/>
  <c r="AB36"/>
  <c r="AD36" s="1"/>
  <c r="AB35"/>
  <c r="AD35" s="1"/>
  <c r="AB89" s="1"/>
  <c r="AB34"/>
  <c r="AD34" s="1"/>
  <c r="AB33"/>
  <c r="AD33" s="1"/>
  <c r="AB32"/>
  <c r="AD32" s="1"/>
  <c r="AB86" s="1"/>
  <c r="AB31"/>
  <c r="AD31" s="1"/>
  <c r="AB30"/>
  <c r="AD30" s="1"/>
  <c r="AB29"/>
  <c r="AD29" s="1"/>
  <c r="AB37" i="20"/>
  <c r="AD37" s="1"/>
  <c r="AB36"/>
  <c r="AD36" s="1"/>
  <c r="AB35"/>
  <c r="AD35" s="1"/>
  <c r="AB89" s="1"/>
  <c r="AB34"/>
  <c r="AD34" s="1"/>
  <c r="AB33"/>
  <c r="AD33" s="1"/>
  <c r="AB32"/>
  <c r="AD32" s="1"/>
  <c r="AB86" s="1"/>
  <c r="AB31"/>
  <c r="AD31" s="1"/>
  <c r="AB30"/>
  <c r="AD30" s="1"/>
  <c r="AB29"/>
  <c r="AD29" s="1"/>
  <c r="AD37" i="19"/>
  <c r="AB37"/>
  <c r="AD36"/>
  <c r="AB36"/>
  <c r="AD35"/>
  <c r="AB35"/>
  <c r="AD34"/>
  <c r="AB34"/>
  <c r="AD33"/>
  <c r="AB33"/>
  <c r="AD32"/>
  <c r="AB32"/>
  <c r="AD31"/>
  <c r="AB31"/>
  <c r="AD30"/>
  <c r="AB30"/>
  <c r="AD29"/>
  <c r="AB29"/>
  <c r="AB37" i="18"/>
  <c r="AD37" s="1"/>
  <c r="AD36"/>
  <c r="AB36"/>
  <c r="AD35"/>
  <c r="AB35"/>
  <c r="AD34"/>
  <c r="AB34"/>
  <c r="AD33"/>
  <c r="AB33"/>
  <c r="AD32"/>
  <c r="AB32"/>
  <c r="AD31"/>
  <c r="AB31"/>
  <c r="AD30"/>
  <c r="AB30"/>
  <c r="AD29"/>
  <c r="AB29"/>
  <c r="AB37" i="17"/>
  <c r="AD37" s="1"/>
  <c r="AD36"/>
  <c r="AB36"/>
  <c r="AD35"/>
  <c r="AB35"/>
  <c r="AD34"/>
  <c r="AB34"/>
  <c r="AD33"/>
  <c r="AB33"/>
  <c r="AD32"/>
  <c r="AB32"/>
  <c r="AD31"/>
  <c r="AB31"/>
  <c r="AD30"/>
  <c r="AB30"/>
  <c r="AD29"/>
  <c r="AB29"/>
  <c r="AB37" i="16"/>
  <c r="AD37" s="1"/>
  <c r="AB36"/>
  <c r="AD36" s="1"/>
  <c r="AB35"/>
  <c r="AD35" s="1"/>
  <c r="AB89" s="1"/>
  <c r="AB34"/>
  <c r="AD34" s="1"/>
  <c r="AB33"/>
  <c r="AD33" s="1"/>
  <c r="AB32"/>
  <c r="AD32" s="1"/>
  <c r="AB31"/>
  <c r="AD31" s="1"/>
  <c r="AB30"/>
  <c r="AD30" s="1"/>
  <c r="AB29"/>
  <c r="AD29" s="1"/>
  <c r="AB37" i="15"/>
  <c r="AD37" s="1"/>
  <c r="AB36"/>
  <c r="AD36" s="1"/>
  <c r="AB35"/>
  <c r="AD35" s="1"/>
  <c r="AB89" s="1"/>
  <c r="AB34"/>
  <c r="AD34" s="1"/>
  <c r="AB33"/>
  <c r="AD33" s="1"/>
  <c r="AB32"/>
  <c r="AD32" s="1"/>
  <c r="AB31"/>
  <c r="AD31" s="1"/>
  <c r="AB30"/>
  <c r="AD30" s="1"/>
  <c r="AB84" s="1"/>
  <c r="AB29"/>
  <c r="AD29" s="1"/>
  <c r="AB37" i="14"/>
  <c r="AD37" s="1"/>
  <c r="AD36"/>
  <c r="AB36"/>
  <c r="AD35"/>
  <c r="AB35"/>
  <c r="AD34"/>
  <c r="AB34"/>
  <c r="AD33"/>
  <c r="AB33"/>
  <c r="AD32"/>
  <c r="AB32"/>
  <c r="AD31"/>
  <c r="AB31"/>
  <c r="AD30"/>
  <c r="AB30"/>
  <c r="AD29"/>
  <c r="AB29"/>
  <c r="AB37" i="13"/>
  <c r="AD37" s="1"/>
  <c r="AD36"/>
  <c r="AB36"/>
  <c r="AD35"/>
  <c r="AB35"/>
  <c r="AD34"/>
  <c r="AB34"/>
  <c r="AD33"/>
  <c r="AB33"/>
  <c r="AD32"/>
  <c r="AB32"/>
  <c r="AD31"/>
  <c r="AB31"/>
  <c r="AD30"/>
  <c r="AB30"/>
  <c r="AD29"/>
  <c r="AB29"/>
  <c r="AB37" i="1"/>
  <c r="Y29" i="5"/>
  <c r="Y28"/>
  <c r="Y27"/>
  <c r="Y26"/>
  <c r="Y25"/>
  <c r="Y24"/>
  <c r="Y23"/>
  <c r="Y22"/>
  <c r="Y21"/>
  <c r="Y20"/>
  <c r="U29"/>
  <c r="U28"/>
  <c r="U27"/>
  <c r="U26"/>
  <c r="U25"/>
  <c r="U24"/>
  <c r="U23"/>
  <c r="U22"/>
  <c r="U21"/>
  <c r="U20"/>
  <c r="AC12"/>
  <c r="AC11"/>
  <c r="AC10"/>
  <c r="AC9"/>
  <c r="AC8"/>
  <c r="Y12"/>
  <c r="Y11"/>
  <c r="Y10"/>
  <c r="Y9"/>
  <c r="Y8"/>
  <c r="U13"/>
  <c r="U12"/>
  <c r="U11"/>
  <c r="U10"/>
  <c r="U9"/>
  <c r="U8"/>
  <c r="G1"/>
  <c r="K2" i="12"/>
  <c r="L33" i="11"/>
  <c r="I33"/>
  <c r="F33"/>
  <c r="L33" i="9"/>
  <c r="I33"/>
  <c r="F33"/>
  <c r="L33" i="7"/>
  <c r="I33"/>
  <c r="F33"/>
  <c r="L33" i="2"/>
  <c r="I33"/>
  <c r="G33"/>
  <c r="F33"/>
  <c r="J4" i="31"/>
  <c r="AA4"/>
  <c r="W4"/>
  <c r="P87"/>
  <c r="P86"/>
  <c r="P85"/>
  <c r="P84"/>
  <c r="N87"/>
  <c r="J87"/>
  <c r="F87"/>
  <c r="B87"/>
  <c r="N65"/>
  <c r="C9"/>
  <c r="P5"/>
  <c r="P4"/>
  <c r="D5"/>
  <c r="D4"/>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B34"/>
  <c r="Z87"/>
  <c r="B33"/>
  <c r="B32"/>
  <c r="Z85"/>
  <c r="B31"/>
  <c r="Z84"/>
  <c r="B30"/>
  <c r="Z83"/>
  <c r="B29"/>
  <c r="B28"/>
  <c r="B27"/>
  <c r="P26"/>
  <c r="P37" s="1"/>
  <c r="O26"/>
  <c r="J33" i="2" s="1"/>
  <c r="N26" i="31"/>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S4"/>
  <c r="J61"/>
  <c r="AA3"/>
  <c r="W3"/>
  <c r="P3"/>
  <c r="J65" s="1"/>
  <c r="D3"/>
  <c r="S2"/>
  <c r="F2"/>
  <c r="A2"/>
  <c r="L32" i="11"/>
  <c r="I32"/>
  <c r="F32"/>
  <c r="L32" i="9"/>
  <c r="I32"/>
  <c r="F32"/>
  <c r="L32" i="7"/>
  <c r="I32"/>
  <c r="F32"/>
  <c r="L32" i="2"/>
  <c r="I32"/>
  <c r="G32"/>
  <c r="F32"/>
  <c r="AA4" i="30"/>
  <c r="W4"/>
  <c r="P87"/>
  <c r="P86"/>
  <c r="P85"/>
  <c r="P84"/>
  <c r="N87"/>
  <c r="J87"/>
  <c r="F87"/>
  <c r="B87"/>
  <c r="B88" s="1"/>
  <c r="N65"/>
  <c r="C9"/>
  <c r="P5"/>
  <c r="P4"/>
  <c r="D5"/>
  <c r="O62" s="1"/>
  <c r="D4"/>
  <c r="J4"/>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O26"/>
  <c r="J32" i="2" s="1"/>
  <c r="N26" i="30"/>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AB13" s="1"/>
  <c r="AB59" s="1"/>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S4"/>
  <c r="J61"/>
  <c r="AA3"/>
  <c r="W3"/>
  <c r="P3"/>
  <c r="J65" s="1"/>
  <c r="D3"/>
  <c r="S2"/>
  <c r="F2"/>
  <c r="A2"/>
  <c r="L31" i="11"/>
  <c r="I31"/>
  <c r="F31"/>
  <c r="L31" i="9"/>
  <c r="I31"/>
  <c r="F31"/>
  <c r="L31" i="7"/>
  <c r="I31"/>
  <c r="F31"/>
  <c r="L31" i="2"/>
  <c r="I31"/>
  <c r="G31"/>
  <c r="F31"/>
  <c r="AA4" i="29"/>
  <c r="W4"/>
  <c r="P87"/>
  <c r="P86"/>
  <c r="P85"/>
  <c r="P84"/>
  <c r="N87"/>
  <c r="J87"/>
  <c r="F87"/>
  <c r="B87"/>
  <c r="B88" s="1"/>
  <c r="N65"/>
  <c r="C9"/>
  <c r="P5"/>
  <c r="P4"/>
  <c r="J4"/>
  <c r="D5"/>
  <c r="D4"/>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O26"/>
  <c r="J31" i="2" s="1"/>
  <c r="N26" i="29"/>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AB13" s="1"/>
  <c r="AB59" s="1"/>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S4"/>
  <c r="J61"/>
  <c r="AA3"/>
  <c r="W3"/>
  <c r="P3"/>
  <c r="J65" s="1"/>
  <c r="D3"/>
  <c r="S2"/>
  <c r="F2"/>
  <c r="A2"/>
  <c r="L30" i="11"/>
  <c r="I30"/>
  <c r="F30"/>
  <c r="L30" i="9"/>
  <c r="I30"/>
  <c r="F30"/>
  <c r="L30" i="7"/>
  <c r="I30"/>
  <c r="F30"/>
  <c r="L30" i="2"/>
  <c r="I30"/>
  <c r="G30"/>
  <c r="F30"/>
  <c r="N65" i="28"/>
  <c r="AA4"/>
  <c r="W4"/>
  <c r="P87"/>
  <c r="P86"/>
  <c r="P85"/>
  <c r="P84"/>
  <c r="N87"/>
  <c r="J87"/>
  <c r="F87"/>
  <c r="B87"/>
  <c r="C9"/>
  <c r="C10" s="1"/>
  <c r="P5"/>
  <c r="P4"/>
  <c r="J4"/>
  <c r="D5"/>
  <c r="O62" s="1"/>
  <c r="D4"/>
  <c r="J61" s="1"/>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O26"/>
  <c r="J30" i="2" s="1"/>
  <c r="N26" i="28"/>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AB8"/>
  <c r="J111" s="1"/>
  <c r="W8"/>
  <c r="J110" s="1"/>
  <c r="AB7"/>
  <c r="F108" s="1"/>
  <c r="AB6"/>
  <c r="F107" s="1"/>
  <c r="O63"/>
  <c r="S4"/>
  <c r="AA3"/>
  <c r="W3"/>
  <c r="P3"/>
  <c r="J65" s="1"/>
  <c r="D3"/>
  <c r="S2"/>
  <c r="F2"/>
  <c r="A2"/>
  <c r="J4" i="25"/>
  <c r="J4" i="24"/>
  <c r="J4" i="23"/>
  <c r="J4" i="22"/>
  <c r="J4" i="21"/>
  <c r="J4" i="20"/>
  <c r="J4" i="18"/>
  <c r="L29" i="11"/>
  <c r="I29"/>
  <c r="F29"/>
  <c r="L29" i="9"/>
  <c r="I29"/>
  <c r="F29"/>
  <c r="L29" i="7"/>
  <c r="I29"/>
  <c r="F29"/>
  <c r="L29" i="2"/>
  <c r="I29"/>
  <c r="G29"/>
  <c r="F29"/>
  <c r="N65" i="18"/>
  <c r="N65" i="19"/>
  <c r="N65" i="20"/>
  <c r="N65" i="21"/>
  <c r="N65" i="22"/>
  <c r="N65" i="23"/>
  <c r="N65" i="24"/>
  <c r="N65" i="25"/>
  <c r="N65" i="26"/>
  <c r="N65" i="27"/>
  <c r="AA4"/>
  <c r="W4"/>
  <c r="P87"/>
  <c r="P86"/>
  <c r="P85"/>
  <c r="P84"/>
  <c r="N87"/>
  <c r="J87"/>
  <c r="F87"/>
  <c r="B87"/>
  <c r="C9"/>
  <c r="C10" s="1"/>
  <c r="P5"/>
  <c r="P4"/>
  <c r="J4"/>
  <c r="D5"/>
  <c r="S4" s="1"/>
  <c r="D4"/>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O26"/>
  <c r="J29" i="2" s="1"/>
  <c r="N26" i="27"/>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AB9"/>
  <c r="J112" s="1"/>
  <c r="M112" s="1"/>
  <c r="AB8"/>
  <c r="J111" s="1"/>
  <c r="W8"/>
  <c r="J110" s="1"/>
  <c r="AB7"/>
  <c r="F108" s="1"/>
  <c r="AB6"/>
  <c r="F107" s="1"/>
  <c r="O63"/>
  <c r="J61"/>
  <c r="AA3"/>
  <c r="W3"/>
  <c r="P3"/>
  <c r="J65" s="1"/>
  <c r="D3"/>
  <c r="S2"/>
  <c r="F2"/>
  <c r="A2"/>
  <c r="L28" i="11"/>
  <c r="I28"/>
  <c r="F28"/>
  <c r="L28" i="9"/>
  <c r="I28"/>
  <c r="F28"/>
  <c r="L28" i="7"/>
  <c r="I28"/>
  <c r="F28"/>
  <c r="L28" i="2"/>
  <c r="I28"/>
  <c r="G28"/>
  <c r="F28"/>
  <c r="AA4" i="26"/>
  <c r="W4"/>
  <c r="P87"/>
  <c r="P86"/>
  <c r="P85"/>
  <c r="P84"/>
  <c r="N87"/>
  <c r="J87"/>
  <c r="F87"/>
  <c r="B87"/>
  <c r="B88" s="1"/>
  <c r="C9"/>
  <c r="C10" s="1"/>
  <c r="P5"/>
  <c r="O63" s="1"/>
  <c r="P4"/>
  <c r="W3" s="1"/>
  <c r="J4"/>
  <c r="D5"/>
  <c r="D4"/>
  <c r="J61" s="1"/>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B30"/>
  <c r="B29"/>
  <c r="B28"/>
  <c r="B27"/>
  <c r="P26"/>
  <c r="P37" s="1"/>
  <c r="O26"/>
  <c r="J28" i="2" s="1"/>
  <c r="N26" i="26"/>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AB8"/>
  <c r="J111" s="1"/>
  <c r="W8"/>
  <c r="J110" s="1"/>
  <c r="AB7"/>
  <c r="F108" s="1"/>
  <c r="AB6"/>
  <c r="F107" s="1"/>
  <c r="S4"/>
  <c r="AA3"/>
  <c r="P3"/>
  <c r="J65" s="1"/>
  <c r="D3"/>
  <c r="S2"/>
  <c r="F2"/>
  <c r="A2"/>
  <c r="L27" i="11"/>
  <c r="I27"/>
  <c r="F27"/>
  <c r="L27" i="9"/>
  <c r="I27"/>
  <c r="F27"/>
  <c r="L27" i="7"/>
  <c r="I27"/>
  <c r="F27"/>
  <c r="L27" i="2"/>
  <c r="I27"/>
  <c r="G27"/>
  <c r="F27"/>
  <c r="AA4" i="25"/>
  <c r="W4"/>
  <c r="P87"/>
  <c r="P86"/>
  <c r="P85"/>
  <c r="P84"/>
  <c r="N87"/>
  <c r="J87"/>
  <c r="F87"/>
  <c r="B87"/>
  <c r="B88" s="1"/>
  <c r="C9"/>
  <c r="C10" s="1"/>
  <c r="P5"/>
  <c r="O63" s="1"/>
  <c r="P4"/>
  <c r="D5"/>
  <c r="D4"/>
  <c r="J61" s="1"/>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O26"/>
  <c r="J27" i="2" s="1"/>
  <c r="N26" i="25"/>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AB8"/>
  <c r="J111" s="1"/>
  <c r="W8"/>
  <c r="J110" s="1"/>
  <c r="AB7"/>
  <c r="F108" s="1"/>
  <c r="AB6"/>
  <c r="F107" s="1"/>
  <c r="S4"/>
  <c r="AA3"/>
  <c r="W3"/>
  <c r="P3"/>
  <c r="J65" s="1"/>
  <c r="D3"/>
  <c r="S2"/>
  <c r="F2"/>
  <c r="A2"/>
  <c r="L26" i="11"/>
  <c r="I26"/>
  <c r="F26"/>
  <c r="L26" i="9"/>
  <c r="I26"/>
  <c r="F26"/>
  <c r="L26" i="7"/>
  <c r="I26"/>
  <c r="F26"/>
  <c r="L26" i="2"/>
  <c r="I26"/>
  <c r="G26"/>
  <c r="F26"/>
  <c r="AA4" i="24"/>
  <c r="W4"/>
  <c r="P87"/>
  <c r="P86"/>
  <c r="P85"/>
  <c r="P84"/>
  <c r="N87"/>
  <c r="J87"/>
  <c r="F87"/>
  <c r="B87"/>
  <c r="B88" s="1"/>
  <c r="C9"/>
  <c r="P5"/>
  <c r="O63" s="1"/>
  <c r="P4"/>
  <c r="W3" s="1"/>
  <c r="D5"/>
  <c r="S4" s="1"/>
  <c r="D4"/>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O26"/>
  <c r="J26" i="2" s="1"/>
  <c r="N26" i="24"/>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2"/>
  <c r="J61"/>
  <c r="AA3"/>
  <c r="S3"/>
  <c r="AB55" s="1"/>
  <c r="P3"/>
  <c r="J65" s="1"/>
  <c r="D3"/>
  <c r="S2"/>
  <c r="F2"/>
  <c r="A2"/>
  <c r="L25" i="11"/>
  <c r="I25"/>
  <c r="F25"/>
  <c r="L25" i="9"/>
  <c r="I25"/>
  <c r="F25"/>
  <c r="L25" i="7"/>
  <c r="I25"/>
  <c r="F25"/>
  <c r="L25" i="2"/>
  <c r="I25"/>
  <c r="G25"/>
  <c r="F25"/>
  <c r="AA4" i="23"/>
  <c r="W4"/>
  <c r="P84"/>
  <c r="P85"/>
  <c r="P86"/>
  <c r="P87"/>
  <c r="N87"/>
  <c r="J87"/>
  <c r="F87"/>
  <c r="B87"/>
  <c r="B88" s="1"/>
  <c r="C9"/>
  <c r="P5"/>
  <c r="P4"/>
  <c r="D5"/>
  <c r="S4" s="1"/>
  <c r="D4"/>
  <c r="J61" s="1"/>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B34"/>
  <c r="Z87"/>
  <c r="B33"/>
  <c r="Z86"/>
  <c r="B32"/>
  <c r="Z85"/>
  <c r="B31"/>
  <c r="Z84"/>
  <c r="B30"/>
  <c r="Z83"/>
  <c r="B29"/>
  <c r="B28"/>
  <c r="B27"/>
  <c r="P26"/>
  <c r="P37" s="1"/>
  <c r="O26"/>
  <c r="J25" i="2" s="1"/>
  <c r="N26" i="23"/>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AA3"/>
  <c r="W3"/>
  <c r="P3"/>
  <c r="J65" s="1"/>
  <c r="D3"/>
  <c r="S2"/>
  <c r="F2"/>
  <c r="A2"/>
  <c r="L24" i="11"/>
  <c r="I24"/>
  <c r="F24"/>
  <c r="L24" i="9"/>
  <c r="I24"/>
  <c r="F24"/>
  <c r="L24" i="7"/>
  <c r="I24"/>
  <c r="F24"/>
  <c r="L24" i="2"/>
  <c r="I24"/>
  <c r="G24"/>
  <c r="F24"/>
  <c r="AA4" i="22"/>
  <c r="W4"/>
  <c r="P87"/>
  <c r="P86"/>
  <c r="P85"/>
  <c r="P84"/>
  <c r="N87"/>
  <c r="J87"/>
  <c r="F87"/>
  <c r="B87"/>
  <c r="C9"/>
  <c r="P5"/>
  <c r="P4"/>
  <c r="W3" s="1"/>
  <c r="D5"/>
  <c r="D4"/>
  <c r="J61" s="1"/>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O26"/>
  <c r="J24" i="2" s="1"/>
  <c r="N26" i="22"/>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S4"/>
  <c r="AA3"/>
  <c r="P3"/>
  <c r="J65" s="1"/>
  <c r="D3"/>
  <c r="S2"/>
  <c r="F2"/>
  <c r="A2"/>
  <c r="L23" i="11"/>
  <c r="I23"/>
  <c r="F23"/>
  <c r="L23" i="9"/>
  <c r="I23"/>
  <c r="F23"/>
  <c r="L23" i="7"/>
  <c r="I23"/>
  <c r="F23"/>
  <c r="L23" i="2"/>
  <c r="I23"/>
  <c r="G23"/>
  <c r="F23"/>
  <c r="AA4" i="21"/>
  <c r="W4"/>
  <c r="P87"/>
  <c r="P86"/>
  <c r="P85"/>
  <c r="P84"/>
  <c r="N87"/>
  <c r="J87"/>
  <c r="F87"/>
  <c r="B87"/>
  <c r="B88" s="1"/>
  <c r="C9"/>
  <c r="P5"/>
  <c r="P4"/>
  <c r="W3" s="1"/>
  <c r="D5"/>
  <c r="D4"/>
  <c r="J61" s="1"/>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B36"/>
  <c r="B35"/>
  <c r="B34"/>
  <c r="B33"/>
  <c r="Z86"/>
  <c r="B32"/>
  <c r="Z85"/>
  <c r="B31"/>
  <c r="Z84"/>
  <c r="B30"/>
  <c r="Z83"/>
  <c r="B29"/>
  <c r="B28"/>
  <c r="B27"/>
  <c r="P26"/>
  <c r="P37" s="1"/>
  <c r="O26"/>
  <c r="J23" i="2" s="1"/>
  <c r="N26" i="21"/>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S4"/>
  <c r="AA3"/>
  <c r="P3"/>
  <c r="J65" s="1"/>
  <c r="D3"/>
  <c r="S2"/>
  <c r="F2"/>
  <c r="A2"/>
  <c r="L22" i="11"/>
  <c r="I22"/>
  <c r="F22"/>
  <c r="L22" i="9"/>
  <c r="I22"/>
  <c r="F22"/>
  <c r="L22" i="7"/>
  <c r="I22"/>
  <c r="F22"/>
  <c r="L22" i="2"/>
  <c r="I22"/>
  <c r="G22"/>
  <c r="F22"/>
  <c r="AA4" i="20"/>
  <c r="W4"/>
  <c r="P87"/>
  <c r="P86"/>
  <c r="P85"/>
  <c r="P84"/>
  <c r="N87"/>
  <c r="J87"/>
  <c r="F87"/>
  <c r="B87"/>
  <c r="C9"/>
  <c r="C10" s="1"/>
  <c r="P5"/>
  <c r="D5"/>
  <c r="S4" s="1"/>
  <c r="P4"/>
  <c r="D4"/>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B36"/>
  <c r="B35"/>
  <c r="B34"/>
  <c r="B33"/>
  <c r="Z86"/>
  <c r="B32"/>
  <c r="Z85"/>
  <c r="B31"/>
  <c r="Z84"/>
  <c r="B30"/>
  <c r="Z83"/>
  <c r="B29"/>
  <c r="B28"/>
  <c r="B27"/>
  <c r="P26"/>
  <c r="P37" s="1"/>
  <c r="O26"/>
  <c r="J22" i="2" s="1"/>
  <c r="N26" i="20"/>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AB8"/>
  <c r="J111" s="1"/>
  <c r="W8"/>
  <c r="J110" s="1"/>
  <c r="AB7"/>
  <c r="F108" s="1"/>
  <c r="AB6"/>
  <c r="F107" s="1"/>
  <c r="O63"/>
  <c r="J61"/>
  <c r="AA3"/>
  <c r="W3"/>
  <c r="P3"/>
  <c r="J65" s="1"/>
  <c r="D3"/>
  <c r="S2"/>
  <c r="F2"/>
  <c r="A2"/>
  <c r="I12" i="12"/>
  <c r="H12"/>
  <c r="G12"/>
  <c r="F12"/>
  <c r="E12"/>
  <c r="I11"/>
  <c r="H11"/>
  <c r="G11"/>
  <c r="F11"/>
  <c r="E11"/>
  <c r="I10"/>
  <c r="H10"/>
  <c r="G10"/>
  <c r="E10"/>
  <c r="I9"/>
  <c r="H9"/>
  <c r="G9"/>
  <c r="F9"/>
  <c r="E9"/>
  <c r="L21" i="11"/>
  <c r="I21"/>
  <c r="F21"/>
  <c r="L21" i="9"/>
  <c r="I21"/>
  <c r="F21"/>
  <c r="L21" i="7"/>
  <c r="I21"/>
  <c r="F21"/>
  <c r="L21" i="2"/>
  <c r="I21"/>
  <c r="G21"/>
  <c r="F21"/>
  <c r="AA4" i="19"/>
  <c r="W4"/>
  <c r="P87"/>
  <c r="P86"/>
  <c r="P85"/>
  <c r="P84"/>
  <c r="N87"/>
  <c r="J87"/>
  <c r="F87"/>
  <c r="B87"/>
  <c r="C9"/>
  <c r="C10" s="1"/>
  <c r="J4"/>
  <c r="P5"/>
  <c r="P4"/>
  <c r="D5"/>
  <c r="S4" s="1"/>
  <c r="D4"/>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AB89"/>
  <c r="B35"/>
  <c r="Z88"/>
  <c r="B34"/>
  <c r="Z87"/>
  <c r="B33"/>
  <c r="AB86"/>
  <c r="Z86"/>
  <c r="B32"/>
  <c r="Z85"/>
  <c r="B31"/>
  <c r="Z84"/>
  <c r="B30"/>
  <c r="Z83"/>
  <c r="B29"/>
  <c r="B28"/>
  <c r="B27"/>
  <c r="P26"/>
  <c r="P37" s="1"/>
  <c r="O26"/>
  <c r="J21" i="2" s="1"/>
  <c r="N26" i="19"/>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AB8"/>
  <c r="J111" s="1"/>
  <c r="W8"/>
  <c r="J110" s="1"/>
  <c r="AB7"/>
  <c r="F108" s="1"/>
  <c r="AB6"/>
  <c r="F107" s="1"/>
  <c r="H107" s="1"/>
  <c r="M108" s="1"/>
  <c r="O63"/>
  <c r="J61"/>
  <c r="AA3"/>
  <c r="W3"/>
  <c r="P3"/>
  <c r="J65" s="1"/>
  <c r="D3"/>
  <c r="S2"/>
  <c r="F2"/>
  <c r="A2"/>
  <c r="L20" i="11"/>
  <c r="I20"/>
  <c r="F20"/>
  <c r="L20" i="9"/>
  <c r="L19"/>
  <c r="I20"/>
  <c r="F20"/>
  <c r="L20" i="7"/>
  <c r="I20"/>
  <c r="F20"/>
  <c r="L20" i="2"/>
  <c r="I20"/>
  <c r="G20"/>
  <c r="F20"/>
  <c r="AA4" i="18"/>
  <c r="W4"/>
  <c r="P87"/>
  <c r="P86"/>
  <c r="P85"/>
  <c r="P84"/>
  <c r="N87"/>
  <c r="J87"/>
  <c r="F87"/>
  <c r="B87"/>
  <c r="C9"/>
  <c r="P5"/>
  <c r="P4"/>
  <c r="W3" s="1"/>
  <c r="D5"/>
  <c r="D4"/>
  <c r="J61" s="1"/>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AB89"/>
  <c r="B35"/>
  <c r="AB88"/>
  <c r="Z88"/>
  <c r="B34"/>
  <c r="Z87"/>
  <c r="B33"/>
  <c r="Z86"/>
  <c r="B32"/>
  <c r="Z85"/>
  <c r="B31"/>
  <c r="Z84"/>
  <c r="B30"/>
  <c r="Z83"/>
  <c r="B29"/>
  <c r="B28"/>
  <c r="B27"/>
  <c r="P26"/>
  <c r="P37" s="1"/>
  <c r="O26"/>
  <c r="J20" i="2" s="1"/>
  <c r="N26" i="18"/>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S4"/>
  <c r="AA3"/>
  <c r="P3"/>
  <c r="J65" s="1"/>
  <c r="D3"/>
  <c r="S2"/>
  <c r="F2"/>
  <c r="A2"/>
  <c r="L19" i="11"/>
  <c r="I19"/>
  <c r="F19"/>
  <c r="I19" i="9"/>
  <c r="F19"/>
  <c r="L19" i="7"/>
  <c r="I19"/>
  <c r="F19"/>
  <c r="L19" i="2"/>
  <c r="I19"/>
  <c r="G19"/>
  <c r="F19"/>
  <c r="AA4" i="17"/>
  <c r="W4"/>
  <c r="P87"/>
  <c r="P86"/>
  <c r="P85"/>
  <c r="P84"/>
  <c r="N87"/>
  <c r="J87"/>
  <c r="F87"/>
  <c r="B87"/>
  <c r="B88" s="1"/>
  <c r="N65"/>
  <c r="C9"/>
  <c r="J4"/>
  <c r="P5"/>
  <c r="O63" s="1"/>
  <c r="P4"/>
  <c r="D5"/>
  <c r="S4" s="1"/>
  <c r="D4"/>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AB89"/>
  <c r="B35"/>
  <c r="Z88"/>
  <c r="B34"/>
  <c r="Z87"/>
  <c r="B33"/>
  <c r="Z86"/>
  <c r="B32"/>
  <c r="Z85"/>
  <c r="B31"/>
  <c r="Z84"/>
  <c r="B30"/>
  <c r="Z83"/>
  <c r="B29"/>
  <c r="B28"/>
  <c r="B27"/>
  <c r="P26"/>
  <c r="P37" s="1"/>
  <c r="O26"/>
  <c r="J19" i="2" s="1"/>
  <c r="N26" i="17"/>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2"/>
  <c r="J61"/>
  <c r="AA3"/>
  <c r="W3"/>
  <c r="S3"/>
  <c r="AB55" s="1"/>
  <c r="P3"/>
  <c r="J65" s="1"/>
  <c r="D3"/>
  <c r="S2"/>
  <c r="F2"/>
  <c r="A2"/>
  <c r="L18" i="11"/>
  <c r="I18"/>
  <c r="F18"/>
  <c r="L18" i="9"/>
  <c r="I18"/>
  <c r="F18"/>
  <c r="L18" i="7"/>
  <c r="I18"/>
  <c r="F18"/>
  <c r="L18" i="2"/>
  <c r="I18"/>
  <c r="G18"/>
  <c r="F18"/>
  <c r="AA4" i="16"/>
  <c r="W4"/>
  <c r="N87"/>
  <c r="F87"/>
  <c r="P87"/>
  <c r="P86"/>
  <c r="P85"/>
  <c r="P84"/>
  <c r="J87"/>
  <c r="B87"/>
  <c r="N65"/>
  <c r="C9"/>
  <c r="J4"/>
  <c r="P5"/>
  <c r="D5"/>
  <c r="P4"/>
  <c r="D4"/>
  <c r="J61" s="1"/>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Z84"/>
  <c r="B30"/>
  <c r="Z83"/>
  <c r="B29"/>
  <c r="B28"/>
  <c r="B27"/>
  <c r="P26"/>
  <c r="P37" s="1"/>
  <c r="J18" i="2"/>
  <c r="N26" i="16"/>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M111" s="1"/>
  <c r="AB7"/>
  <c r="F108" s="1"/>
  <c r="AB6"/>
  <c r="F107" s="1"/>
  <c r="H107" s="1"/>
  <c r="M108" s="1"/>
  <c r="O63"/>
  <c r="S4"/>
  <c r="AA3"/>
  <c r="W3"/>
  <c r="P3"/>
  <c r="J65" s="1"/>
  <c r="D3"/>
  <c r="S2"/>
  <c r="F2"/>
  <c r="A2"/>
  <c r="L17" i="11"/>
  <c r="I17"/>
  <c r="F17"/>
  <c r="L17" i="9"/>
  <c r="I17"/>
  <c r="F17"/>
  <c r="L17" i="7"/>
  <c r="I17"/>
  <c r="F17"/>
  <c r="L17" i="2"/>
  <c r="I17"/>
  <c r="G17"/>
  <c r="F17"/>
  <c r="AA4" i="15"/>
  <c r="W4"/>
  <c r="F87"/>
  <c r="N87"/>
  <c r="P87"/>
  <c r="P86"/>
  <c r="P85"/>
  <c r="P84"/>
  <c r="J87"/>
  <c r="B87"/>
  <c r="N65"/>
  <c r="C9"/>
  <c r="J4"/>
  <c r="P5"/>
  <c r="D5"/>
  <c r="P4"/>
  <c r="W3" s="1"/>
  <c r="D4"/>
  <c r="J61" s="1"/>
  <c r="AB112"/>
  <c r="V112"/>
  <c r="S112"/>
  <c r="U110"/>
  <c r="U109"/>
  <c r="T104"/>
  <c r="Z103"/>
  <c r="T103"/>
  <c r="AD99"/>
  <c r="N97"/>
  <c r="C96"/>
  <c r="C95"/>
  <c r="B91"/>
  <c r="J90"/>
  <c r="B90"/>
  <c r="B88"/>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B35"/>
  <c r="Z88"/>
  <c r="B34"/>
  <c r="Z87"/>
  <c r="B33"/>
  <c r="Z86"/>
  <c r="B32"/>
  <c r="Z85"/>
  <c r="B31"/>
  <c r="B30"/>
  <c r="B29"/>
  <c r="B28"/>
  <c r="B27"/>
  <c r="P26"/>
  <c r="P37" s="1"/>
  <c r="O26"/>
  <c r="J17" i="2" s="1"/>
  <c r="N26" i="15"/>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H107" s="1"/>
  <c r="M108" s="1"/>
  <c r="O63"/>
  <c r="S4"/>
  <c r="AA3"/>
  <c r="P3"/>
  <c r="J65" s="1"/>
  <c r="D3"/>
  <c r="S2"/>
  <c r="F2"/>
  <c r="A2"/>
  <c r="L16" i="11"/>
  <c r="I16"/>
  <c r="F16"/>
  <c r="L15"/>
  <c r="I15"/>
  <c r="F15"/>
  <c r="L16" i="9"/>
  <c r="I16"/>
  <c r="F16"/>
  <c r="L15"/>
  <c r="I15"/>
  <c r="F15"/>
  <c r="L16" i="7"/>
  <c r="I16"/>
  <c r="F16"/>
  <c r="L15"/>
  <c r="I15"/>
  <c r="F15"/>
  <c r="L16" i="2"/>
  <c r="I16"/>
  <c r="G16"/>
  <c r="F16"/>
  <c r="C9" i="14"/>
  <c r="N65"/>
  <c r="P87"/>
  <c r="P86"/>
  <c r="P85"/>
  <c r="P84"/>
  <c r="N87"/>
  <c r="J87"/>
  <c r="F87"/>
  <c r="B87"/>
  <c r="B88" s="1"/>
  <c r="AA4"/>
  <c r="W4"/>
  <c r="P5"/>
  <c r="P4"/>
  <c r="D5"/>
  <c r="D4"/>
  <c r="S3" s="1"/>
  <c r="AB55" s="1"/>
  <c r="J4"/>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Z89"/>
  <c r="B35"/>
  <c r="Z88"/>
  <c r="B34"/>
  <c r="AB87"/>
  <c r="Z87"/>
  <c r="B33"/>
  <c r="Z86"/>
  <c r="B32"/>
  <c r="Z85"/>
  <c r="B31"/>
  <c r="Z84"/>
  <c r="B30"/>
  <c r="Z83"/>
  <c r="B29"/>
  <c r="B28"/>
  <c r="B27"/>
  <c r="P26"/>
  <c r="P37" s="1"/>
  <c r="O26"/>
  <c r="J16" i="2" s="1"/>
  <c r="N26" i="14"/>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H11" s="1"/>
  <c r="G10"/>
  <c r="C10"/>
  <c r="AB9"/>
  <c r="J112" s="1"/>
  <c r="M112" s="1"/>
  <c r="F9"/>
  <c r="D9"/>
  <c r="AB8"/>
  <c r="J111" s="1"/>
  <c r="W8"/>
  <c r="J110" s="1"/>
  <c r="M111" s="1"/>
  <c r="AB7"/>
  <c r="F108" s="1"/>
  <c r="AB6"/>
  <c r="F107" s="1"/>
  <c r="H107" s="1"/>
  <c r="M108" s="1"/>
  <c r="O63"/>
  <c r="O62"/>
  <c r="S4"/>
  <c r="J61"/>
  <c r="AA3"/>
  <c r="W3"/>
  <c r="P3"/>
  <c r="J65" s="1"/>
  <c r="D3"/>
  <c r="S2"/>
  <c r="F2"/>
  <c r="A2"/>
  <c r="L15" i="2"/>
  <c r="I15"/>
  <c r="G15"/>
  <c r="F15"/>
  <c r="AA3" i="13"/>
  <c r="AA3" i="1"/>
  <c r="Z86" i="31" l="1"/>
  <c r="Z88"/>
  <c r="Z88" i="23"/>
  <c r="Z83" i="26"/>
  <c r="Z84"/>
  <c r="Z87" i="21"/>
  <c r="Z88"/>
  <c r="Z90"/>
  <c r="Z87" i="20"/>
  <c r="Z88"/>
  <c r="Z90"/>
  <c r="Z83" i="15"/>
  <c r="Z84"/>
  <c r="AB88" i="26"/>
  <c r="AB90" i="27"/>
  <c r="AB84" i="31"/>
  <c r="AB88" i="16"/>
  <c r="AB13" i="28"/>
  <c r="AB59" s="1"/>
  <c r="AB13" i="25"/>
  <c r="AB59" s="1"/>
  <c r="AB90" i="30"/>
  <c r="AB88" i="31"/>
  <c r="AB13" i="14"/>
  <c r="AB59" s="1"/>
  <c r="AB13" i="15"/>
  <c r="AB59" s="1"/>
  <c r="AB88"/>
  <c r="AB13" i="16"/>
  <c r="AB59" s="1"/>
  <c r="AB13" i="21"/>
  <c r="AB59" s="1"/>
  <c r="AB90"/>
  <c r="AB13" i="23"/>
  <c r="AB59" s="1"/>
  <c r="AB86" i="24"/>
  <c r="AB87" i="25"/>
  <c r="AB90" i="26"/>
  <c r="AB13" i="27"/>
  <c r="AB59" s="1"/>
  <c r="AB86" i="28"/>
  <c r="AB90"/>
  <c r="AB88" i="29"/>
  <c r="AB87" i="30"/>
  <c r="AB13" i="31"/>
  <c r="AB59" s="1"/>
  <c r="AB13" i="17"/>
  <c r="AB59" s="1"/>
  <c r="AB84" i="18"/>
  <c r="AB13" i="20"/>
  <c r="AB59" s="1"/>
  <c r="AB13" i="24"/>
  <c r="AB59" s="1"/>
  <c r="AB13" i="26"/>
  <c r="AB59" s="1"/>
  <c r="AB88" i="28"/>
  <c r="AB90" i="29"/>
  <c r="AB90" i="31"/>
  <c r="C11"/>
  <c r="F10"/>
  <c r="D10"/>
  <c r="E10" s="1"/>
  <c r="C26" s="1"/>
  <c r="F26" s="1"/>
  <c r="Q26" s="1"/>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6"/>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33" i="2" s="1"/>
  <c r="AB85" i="31"/>
  <c r="AB87"/>
  <c r="C11" i="30"/>
  <c r="F10"/>
  <c r="D10"/>
  <c r="E10" s="1"/>
  <c r="C26" s="1"/>
  <c r="F26" s="1"/>
  <c r="Q26" s="1"/>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AB86"/>
  <c r="AB88"/>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32" i="2" s="1"/>
  <c r="AB85" i="30"/>
  <c r="C11" i="29"/>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AB86"/>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31" i="2" s="1"/>
  <c r="AB85" i="29"/>
  <c r="AB87"/>
  <c r="S3" i="28"/>
  <c r="AB55" s="1"/>
  <c r="C11"/>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F76"/>
  <c r="Z89"/>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30" i="2" s="1"/>
  <c r="AB85" i="28"/>
  <c r="AB87"/>
  <c r="AB85" i="14"/>
  <c r="AB89"/>
  <c r="M111" i="15"/>
  <c r="AB86"/>
  <c r="AB90"/>
  <c r="AB86" i="16"/>
  <c r="AB90"/>
  <c r="AB88" i="17"/>
  <c r="AB13" i="18"/>
  <c r="AB59" s="1"/>
  <c r="AB86"/>
  <c r="AB90"/>
  <c r="AB90" i="19"/>
  <c r="AB90" i="17"/>
  <c r="AB13" i="19"/>
  <c r="AB59" s="1"/>
  <c r="AB88"/>
  <c r="AB84" i="20"/>
  <c r="AB90"/>
  <c r="AB13" i="22"/>
  <c r="AB59" s="1"/>
  <c r="AB84"/>
  <c r="AB88"/>
  <c r="AB90" i="23"/>
  <c r="AB90" i="24"/>
  <c r="AB86" i="26"/>
  <c r="AB86" i="27"/>
  <c r="AB88" i="20"/>
  <c r="AB84" i="21"/>
  <c r="AB88"/>
  <c r="AB90" i="22"/>
  <c r="AB88" i="23"/>
  <c r="H107" i="27"/>
  <c r="M108" s="1"/>
  <c r="M111"/>
  <c r="AB88"/>
  <c r="C11"/>
  <c r="F10"/>
  <c r="D10"/>
  <c r="E10" s="1"/>
  <c r="C26" s="1"/>
  <c r="F26" s="1"/>
  <c r="Q26" s="1"/>
  <c r="G12"/>
  <c r="G13" s="1"/>
  <c r="G14" s="1"/>
  <c r="G15" s="1"/>
  <c r="G16" s="1"/>
  <c r="G17" s="1"/>
  <c r="G18" s="1"/>
  <c r="G19" s="1"/>
  <c r="G20" s="1"/>
  <c r="AB91"/>
  <c r="Z91"/>
  <c r="I9"/>
  <c r="H11"/>
  <c r="H12" s="1"/>
  <c r="H13" s="1"/>
  <c r="H14" s="1"/>
  <c r="H15" s="1"/>
  <c r="H16" s="1"/>
  <c r="H17" s="1"/>
  <c r="H18" s="1"/>
  <c r="H19" s="1"/>
  <c r="H20" s="1"/>
  <c r="AB11"/>
  <c r="AB58" s="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9" i="2" s="1"/>
  <c r="AB85" i="27"/>
  <c r="AB87"/>
  <c r="C11" i="26"/>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8" i="2" s="1"/>
  <c r="AB85" i="26"/>
  <c r="AB87"/>
  <c r="C11" i="25"/>
  <c r="F10"/>
  <c r="D10"/>
  <c r="E10" s="1"/>
  <c r="C26" s="1"/>
  <c r="F26" s="1"/>
  <c r="Q26" s="1"/>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AB86"/>
  <c r="AB88"/>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7" i="2" s="1"/>
  <c r="AB85" i="25"/>
  <c r="C11" i="24"/>
  <c r="F10"/>
  <c r="D10"/>
  <c r="E10" s="1"/>
  <c r="C26" s="1"/>
  <c r="F26" s="1"/>
  <c r="Q26" s="1"/>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F76"/>
  <c r="Z89"/>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6" i="2" s="1"/>
  <c r="AB85" i="24"/>
  <c r="AB87"/>
  <c r="C11" i="23"/>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AB86"/>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5" i="2" s="1"/>
  <c r="AB85" i="23"/>
  <c r="AB87"/>
  <c r="C11" i="22"/>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4" i="2" s="1"/>
  <c r="AB85" i="22"/>
  <c r="AB87"/>
  <c r="C11" i="21"/>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3" i="2" s="1"/>
  <c r="AB85" i="21"/>
  <c r="AB87"/>
  <c r="C11" i="20"/>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2" i="2" s="1"/>
  <c r="AB85" i="20"/>
  <c r="AB87"/>
  <c r="C11" i="19"/>
  <c r="F10"/>
  <c r="D10"/>
  <c r="E10" s="1"/>
  <c r="C26" s="1"/>
  <c r="F26" s="1"/>
  <c r="Q26" s="1"/>
  <c r="AB91"/>
  <c r="Z9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O62"/>
  <c r="F76"/>
  <c r="Z89"/>
  <c r="S3"/>
  <c r="AB55" s="1"/>
  <c r="D9"/>
  <c r="E9" s="1"/>
  <c r="C25" s="1"/>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1" i="2" s="1"/>
  <c r="AB85" i="19"/>
  <c r="AB87"/>
  <c r="C11" i="18"/>
  <c r="F10"/>
  <c r="D10"/>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20" i="2" s="1"/>
  <c r="AB85" i="18"/>
  <c r="AB87"/>
  <c r="C11" i="17"/>
  <c r="F10"/>
  <c r="D10"/>
  <c r="E10" s="1"/>
  <c r="C26" s="1"/>
  <c r="F26" s="1"/>
  <c r="Q26" s="1"/>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AB86"/>
  <c r="F76"/>
  <c r="Z89"/>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19" i="2" s="1"/>
  <c r="AB85" i="17"/>
  <c r="AB87"/>
  <c r="C11" i="16"/>
  <c r="F10"/>
  <c r="D10"/>
  <c r="E10" s="1"/>
  <c r="AB91"/>
  <c r="Z9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18" i="2" s="1"/>
  <c r="AB85" i="16"/>
  <c r="AB87"/>
  <c r="C11" i="15"/>
  <c r="F10"/>
  <c r="D10"/>
  <c r="E10" s="1"/>
  <c r="AB91"/>
  <c r="Z9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AB83"/>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M17" i="2"/>
  <c r="AB85" i="15"/>
  <c r="AB87"/>
  <c r="AB91" i="14"/>
  <c r="Z91"/>
  <c r="H12"/>
  <c r="H13" s="1"/>
  <c r="H14" s="1"/>
  <c r="H15" s="1"/>
  <c r="H16" s="1"/>
  <c r="H17" s="1"/>
  <c r="H18" s="1"/>
  <c r="H19" s="1"/>
  <c r="H20" s="1"/>
  <c r="C11"/>
  <c r="G11"/>
  <c r="G12" s="1"/>
  <c r="G13" s="1"/>
  <c r="G14" s="1"/>
  <c r="G15" s="1"/>
  <c r="G16" s="1"/>
  <c r="G17" s="1"/>
  <c r="G18" s="1"/>
  <c r="G19" s="1"/>
  <c r="G20" s="1"/>
  <c r="E9"/>
  <c r="C25" s="1"/>
  <c r="I9"/>
  <c r="Q9" s="1"/>
  <c r="E16" i="2" s="1"/>
  <c r="D10" i="14"/>
  <c r="F10"/>
  <c r="AB11"/>
  <c r="AB58" s="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AB84"/>
  <c r="AB86"/>
  <c r="AB88"/>
  <c r="AB90"/>
  <c r="F76"/>
  <c r="AB83"/>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AA4" i="13"/>
  <c r="W4"/>
  <c r="P86"/>
  <c r="P85"/>
  <c r="P84"/>
  <c r="P87"/>
  <c r="N87"/>
  <c r="J87"/>
  <c r="F87"/>
  <c r="B87"/>
  <c r="B88" s="1"/>
  <c r="N65"/>
  <c r="C9"/>
  <c r="P5"/>
  <c r="D5"/>
  <c r="P4"/>
  <c r="D4"/>
  <c r="J4"/>
  <c r="AB112"/>
  <c r="V112"/>
  <c r="S112"/>
  <c r="U110"/>
  <c r="U109"/>
  <c r="T104"/>
  <c r="Z103"/>
  <c r="T103"/>
  <c r="AD99"/>
  <c r="N97"/>
  <c r="C96"/>
  <c r="C95"/>
  <c r="B91"/>
  <c r="J90"/>
  <c r="B90"/>
  <c r="Q80"/>
  <c r="P80"/>
  <c r="O80"/>
  <c r="N80"/>
  <c r="M80"/>
  <c r="L80"/>
  <c r="J80"/>
  <c r="I80"/>
  <c r="H80"/>
  <c r="G80"/>
  <c r="F80"/>
  <c r="D80"/>
  <c r="Q79"/>
  <c r="P79"/>
  <c r="O79"/>
  <c r="N79"/>
  <c r="M79"/>
  <c r="L79"/>
  <c r="J79"/>
  <c r="I79"/>
  <c r="H79"/>
  <c r="G79"/>
  <c r="F79"/>
  <c r="D79"/>
  <c r="Q78"/>
  <c r="P78"/>
  <c r="O78"/>
  <c r="N78"/>
  <c r="M78"/>
  <c r="L78"/>
  <c r="J78"/>
  <c r="I78"/>
  <c r="H78"/>
  <c r="G78"/>
  <c r="F78"/>
  <c r="D78"/>
  <c r="Q77"/>
  <c r="P77"/>
  <c r="O77"/>
  <c r="N77"/>
  <c r="M77"/>
  <c r="L77"/>
  <c r="J77"/>
  <c r="I77"/>
  <c r="H77"/>
  <c r="G77"/>
  <c r="F77"/>
  <c r="D77"/>
  <c r="D76"/>
  <c r="H72"/>
  <c r="C72"/>
  <c r="H71"/>
  <c r="C71"/>
  <c r="H70"/>
  <c r="C70"/>
  <c r="H69"/>
  <c r="C69"/>
  <c r="A65"/>
  <c r="D63"/>
  <c r="D62"/>
  <c r="O61"/>
  <c r="D61"/>
  <c r="A61"/>
  <c r="Z90"/>
  <c r="B36"/>
  <c r="AB89"/>
  <c r="B35"/>
  <c r="AB88"/>
  <c r="Z88"/>
  <c r="B34"/>
  <c r="Z87"/>
  <c r="B33"/>
  <c r="Z86"/>
  <c r="B32"/>
  <c r="Z85"/>
  <c r="B31"/>
  <c r="Z84"/>
  <c r="B30"/>
  <c r="Z83"/>
  <c r="B29"/>
  <c r="B28"/>
  <c r="B27"/>
  <c r="P26"/>
  <c r="P37" s="1"/>
  <c r="O26"/>
  <c r="J15" i="2" s="1"/>
  <c r="N26" i="13"/>
  <c r="M26"/>
  <c r="L26"/>
  <c r="J26"/>
  <c r="I26"/>
  <c r="H26"/>
  <c r="G26"/>
  <c r="B26"/>
  <c r="V25"/>
  <c r="B25"/>
  <c r="AD24"/>
  <c r="Z80" s="1"/>
  <c r="V24"/>
  <c r="Z72" s="1"/>
  <c r="AD23"/>
  <c r="Z77" s="1"/>
  <c r="V23"/>
  <c r="Z71" s="1"/>
  <c r="AD22"/>
  <c r="Z73" s="1"/>
  <c r="V22"/>
  <c r="AD21"/>
  <c r="Z76" s="1"/>
  <c r="V21"/>
  <c r="P21"/>
  <c r="O21"/>
  <c r="N21"/>
  <c r="M21"/>
  <c r="L21"/>
  <c r="AD20"/>
  <c r="Z78" s="1"/>
  <c r="V20"/>
  <c r="Z70" s="1"/>
  <c r="K20"/>
  <c r="D36" s="1"/>
  <c r="AD19"/>
  <c r="Z79" s="1"/>
  <c r="K19"/>
  <c r="D35" s="1"/>
  <c r="AD18"/>
  <c r="Z75" s="1"/>
  <c r="K18"/>
  <c r="D34" s="1"/>
  <c r="AD17"/>
  <c r="Z74" s="1"/>
  <c r="K17"/>
  <c r="D33" s="1"/>
  <c r="K16"/>
  <c r="D32" s="1"/>
  <c r="K15"/>
  <c r="D31" s="1"/>
  <c r="AA14"/>
  <c r="Y63" s="1"/>
  <c r="AB63" s="1"/>
  <c r="Y13"/>
  <c r="W13"/>
  <c r="U13"/>
  <c r="S13"/>
  <c r="K13"/>
  <c r="D29" s="1"/>
  <c r="K12"/>
  <c r="D28" s="1"/>
  <c r="Y11"/>
  <c r="Y58" s="1"/>
  <c r="V11"/>
  <c r="V58" s="1"/>
  <c r="T11"/>
  <c r="T58" s="1"/>
  <c r="K11"/>
  <c r="D27" s="1"/>
  <c r="K10"/>
  <c r="D26" s="1"/>
  <c r="H10"/>
  <c r="G10"/>
  <c r="G11" s="1"/>
  <c r="G12" s="1"/>
  <c r="G13" s="1"/>
  <c r="G14" s="1"/>
  <c r="G15" s="1"/>
  <c r="G16" s="1"/>
  <c r="G17" s="1"/>
  <c r="G18" s="1"/>
  <c r="G19" s="1"/>
  <c r="G20" s="1"/>
  <c r="AB9"/>
  <c r="J112" s="1"/>
  <c r="M112" s="1"/>
  <c r="C10"/>
  <c r="AB8"/>
  <c r="J111" s="1"/>
  <c r="W8"/>
  <c r="J110" s="1"/>
  <c r="AB7"/>
  <c r="F108" s="1"/>
  <c r="AB6"/>
  <c r="F107" s="1"/>
  <c r="O63"/>
  <c r="S4"/>
  <c r="W3"/>
  <c r="J61"/>
  <c r="P3"/>
  <c r="J65" s="1"/>
  <c r="D3"/>
  <c r="S2"/>
  <c r="F2"/>
  <c r="A2"/>
  <c r="N65" i="1"/>
  <c r="O61"/>
  <c r="V112"/>
  <c r="S112"/>
  <c r="V20"/>
  <c r="P26"/>
  <c r="Q10" i="26" l="1"/>
  <c r="H28" i="2" s="1"/>
  <c r="Q10" i="21"/>
  <c r="H23" i="2" s="1"/>
  <c r="AB84" i="13"/>
  <c r="AB13"/>
  <c r="AB59" s="1"/>
  <c r="Q10" i="29"/>
  <c r="H31" i="2" s="1"/>
  <c r="Q10" i="28"/>
  <c r="H30" i="2" s="1"/>
  <c r="AD38" i="31"/>
  <c r="AD92" s="1"/>
  <c r="AB83"/>
  <c r="K9"/>
  <c r="D25" s="1"/>
  <c r="I21"/>
  <c r="C12"/>
  <c r="F11"/>
  <c r="D11"/>
  <c r="E11" s="1"/>
  <c r="C27" s="1"/>
  <c r="N69"/>
  <c r="S49"/>
  <c r="L37"/>
  <c r="G37"/>
  <c r="H21"/>
  <c r="J37"/>
  <c r="Q10"/>
  <c r="H33" i="2" s="1"/>
  <c r="G76" i="31"/>
  <c r="O28"/>
  <c r="G33" i="7" s="1"/>
  <c r="Q9" i="31"/>
  <c r="E33" i="2" s="1"/>
  <c r="E9" i="31"/>
  <c r="C25" s="1"/>
  <c r="N37"/>
  <c r="V19" s="1"/>
  <c r="Z69" s="1"/>
  <c r="I37"/>
  <c r="V18" s="1"/>
  <c r="Z68" s="1"/>
  <c r="M37"/>
  <c r="H37"/>
  <c r="G76" i="30"/>
  <c r="O28"/>
  <c r="G32" i="7" s="1"/>
  <c r="K9" i="30"/>
  <c r="D25" s="1"/>
  <c r="I21"/>
  <c r="C12"/>
  <c r="F11"/>
  <c r="D11"/>
  <c r="E11" s="1"/>
  <c r="C27" s="1"/>
  <c r="F27" s="1"/>
  <c r="Q27" s="1"/>
  <c r="S49"/>
  <c r="N37"/>
  <c r="V19" s="1"/>
  <c r="Z69" s="1"/>
  <c r="I37"/>
  <c r="V18" s="1"/>
  <c r="Z68" s="1"/>
  <c r="J37"/>
  <c r="Q10"/>
  <c r="H32" i="2" s="1"/>
  <c r="AD38" i="30"/>
  <c r="AD92" s="1"/>
  <c r="AB83"/>
  <c r="N69"/>
  <c r="Q9"/>
  <c r="E32" i="2" s="1"/>
  <c r="E9" i="30"/>
  <c r="C25" s="1"/>
  <c r="L37"/>
  <c r="G37"/>
  <c r="H21"/>
  <c r="M37"/>
  <c r="H37"/>
  <c r="G76" i="29"/>
  <c r="O28"/>
  <c r="G31" i="7" s="1"/>
  <c r="K9" i="29"/>
  <c r="D25" s="1"/>
  <c r="I21"/>
  <c r="M37"/>
  <c r="H37"/>
  <c r="E10"/>
  <c r="C26" s="1"/>
  <c r="F26" s="1"/>
  <c r="Q26" s="1"/>
  <c r="L37"/>
  <c r="G37"/>
  <c r="H21"/>
  <c r="AD38"/>
  <c r="AD92" s="1"/>
  <c r="AB83"/>
  <c r="C12"/>
  <c r="F11"/>
  <c r="D11"/>
  <c r="E11" s="1"/>
  <c r="C27" s="1"/>
  <c r="F27" s="1"/>
  <c r="Q27" s="1"/>
  <c r="N69"/>
  <c r="S49"/>
  <c r="Q9"/>
  <c r="E31" i="2" s="1"/>
  <c r="E9" i="29"/>
  <c r="C25" s="1"/>
  <c r="J37"/>
  <c r="N37"/>
  <c r="V19" s="1"/>
  <c r="Z69" s="1"/>
  <c r="I37"/>
  <c r="V18" s="1"/>
  <c r="Z68" s="1"/>
  <c r="G76" i="28"/>
  <c r="O28"/>
  <c r="G30" i="7" s="1"/>
  <c r="K9" i="28"/>
  <c r="D25" s="1"/>
  <c r="I21"/>
  <c r="N69"/>
  <c r="M37"/>
  <c r="H37"/>
  <c r="E10"/>
  <c r="C26" s="1"/>
  <c r="F26" s="1"/>
  <c r="Q26" s="1"/>
  <c r="L37"/>
  <c r="G37"/>
  <c r="H21"/>
  <c r="AD38"/>
  <c r="AD92" s="1"/>
  <c r="AB83"/>
  <c r="C12"/>
  <c r="F11"/>
  <c r="D11"/>
  <c r="S49"/>
  <c r="Q9"/>
  <c r="E30" i="2" s="1"/>
  <c r="E9" i="28"/>
  <c r="C25" s="1"/>
  <c r="J37"/>
  <c r="N37"/>
  <c r="V19" s="1"/>
  <c r="Z69" s="1"/>
  <c r="I37"/>
  <c r="V18" s="1"/>
  <c r="Z68" s="1"/>
  <c r="N69" i="14"/>
  <c r="M16" i="2"/>
  <c r="H21" i="14"/>
  <c r="F26" i="16"/>
  <c r="Q26" s="1"/>
  <c r="AB86" i="13"/>
  <c r="AB90"/>
  <c r="Q10" i="18"/>
  <c r="H20" i="2" s="1"/>
  <c r="Q10" i="22"/>
  <c r="H24" i="2" s="1"/>
  <c r="Q10" i="23"/>
  <c r="H25" i="2" s="1"/>
  <c r="G76" i="27"/>
  <c r="O28"/>
  <c r="G29" i="7" s="1"/>
  <c r="S49" i="27"/>
  <c r="K9"/>
  <c r="D25" s="1"/>
  <c r="I21"/>
  <c r="C12"/>
  <c r="F11"/>
  <c r="D11"/>
  <c r="E11" s="1"/>
  <c r="C27" s="1"/>
  <c r="F27" s="1"/>
  <c r="Q27" s="1"/>
  <c r="M37"/>
  <c r="H37"/>
  <c r="H21"/>
  <c r="N37"/>
  <c r="V19" s="1"/>
  <c r="Z69" s="1"/>
  <c r="I37"/>
  <c r="V18" s="1"/>
  <c r="Z68" s="1"/>
  <c r="Q10"/>
  <c r="H29" i="2" s="1"/>
  <c r="AD38" i="27"/>
  <c r="AD92" s="1"/>
  <c r="AB83"/>
  <c r="N69"/>
  <c r="Q9"/>
  <c r="E29" i="2" s="1"/>
  <c r="E9" i="27"/>
  <c r="C25" s="1"/>
  <c r="J37"/>
  <c r="L37"/>
  <c r="G37"/>
  <c r="G21"/>
  <c r="G76" i="26"/>
  <c r="O28"/>
  <c r="G28" i="7" s="1"/>
  <c r="K9" i="26"/>
  <c r="D25" s="1"/>
  <c r="I21"/>
  <c r="M37"/>
  <c r="H37"/>
  <c r="E10"/>
  <c r="C26" s="1"/>
  <c r="F26" s="1"/>
  <c r="Q26" s="1"/>
  <c r="L37"/>
  <c r="G37"/>
  <c r="H21"/>
  <c r="AD38"/>
  <c r="AD92" s="1"/>
  <c r="AB83"/>
  <c r="C12"/>
  <c r="F11"/>
  <c r="D11"/>
  <c r="E11" s="1"/>
  <c r="C27" s="1"/>
  <c r="F27" s="1"/>
  <c r="Q27" s="1"/>
  <c r="N69"/>
  <c r="S49"/>
  <c r="Q9"/>
  <c r="E28" i="2" s="1"/>
  <c r="E9" i="26"/>
  <c r="C25" s="1"/>
  <c r="J37"/>
  <c r="N37"/>
  <c r="V19" s="1"/>
  <c r="Z69" s="1"/>
  <c r="I37"/>
  <c r="V18" s="1"/>
  <c r="Z68" s="1"/>
  <c r="AD38" i="25"/>
  <c r="AD92" s="1"/>
  <c r="AB83"/>
  <c r="K9"/>
  <c r="D25" s="1"/>
  <c r="I21"/>
  <c r="C12"/>
  <c r="F11"/>
  <c r="D11"/>
  <c r="E11" s="1"/>
  <c r="C27" s="1"/>
  <c r="F27" s="1"/>
  <c r="Q27" s="1"/>
  <c r="N69"/>
  <c r="S49"/>
  <c r="J37"/>
  <c r="Q10"/>
  <c r="H27" i="2" s="1"/>
  <c r="L37" i="25"/>
  <c r="G37"/>
  <c r="H21"/>
  <c r="G76"/>
  <c r="O28"/>
  <c r="G27" i="7" s="1"/>
  <c r="Q9" i="25"/>
  <c r="E27" i="2" s="1"/>
  <c r="E9" i="25"/>
  <c r="C25" s="1"/>
  <c r="M37"/>
  <c r="H37"/>
  <c r="N37"/>
  <c r="V19" s="1"/>
  <c r="Z69" s="1"/>
  <c r="I37"/>
  <c r="V18" s="1"/>
  <c r="Z68" s="1"/>
  <c r="AD38" i="24"/>
  <c r="AD92" s="1"/>
  <c r="AB83"/>
  <c r="K9"/>
  <c r="D25" s="1"/>
  <c r="I21"/>
  <c r="C12"/>
  <c r="F11"/>
  <c r="D11"/>
  <c r="E11" s="1"/>
  <c r="C27" s="1"/>
  <c r="F27" s="1"/>
  <c r="S49"/>
  <c r="Q27"/>
  <c r="L37"/>
  <c r="G37"/>
  <c r="H21"/>
  <c r="J37"/>
  <c r="Q10"/>
  <c r="H26" i="2" s="1"/>
  <c r="G76" i="24"/>
  <c r="O28"/>
  <c r="G26" i="7" s="1"/>
  <c r="N69" i="24"/>
  <c r="Q9"/>
  <c r="E26" i="2" s="1"/>
  <c r="E9" i="24"/>
  <c r="C25" s="1"/>
  <c r="N37"/>
  <c r="V19" s="1"/>
  <c r="Z69" s="1"/>
  <c r="I37"/>
  <c r="V18" s="1"/>
  <c r="Z68" s="1"/>
  <c r="M37"/>
  <c r="H37"/>
  <c r="G76" i="23"/>
  <c r="O28"/>
  <c r="G25" i="7" s="1"/>
  <c r="K9" i="23"/>
  <c r="D25" s="1"/>
  <c r="I21"/>
  <c r="M37"/>
  <c r="H37"/>
  <c r="E10"/>
  <c r="C26" s="1"/>
  <c r="F26" s="1"/>
  <c r="Q26" s="1"/>
  <c r="L37"/>
  <c r="G37"/>
  <c r="H21"/>
  <c r="AD38"/>
  <c r="AD92" s="1"/>
  <c r="AB83"/>
  <c r="C12"/>
  <c r="F11"/>
  <c r="D11"/>
  <c r="E11" s="1"/>
  <c r="C27" s="1"/>
  <c r="F27" s="1"/>
  <c r="Q27" s="1"/>
  <c r="N69"/>
  <c r="S49"/>
  <c r="Q9"/>
  <c r="E25" i="2" s="1"/>
  <c r="E9" i="23"/>
  <c r="C25" s="1"/>
  <c r="J37"/>
  <c r="N37"/>
  <c r="V19" s="1"/>
  <c r="Z69" s="1"/>
  <c r="I37"/>
  <c r="V18" s="1"/>
  <c r="Z68" s="1"/>
  <c r="G76" i="22"/>
  <c r="O28"/>
  <c r="G24" i="7" s="1"/>
  <c r="K9" i="22"/>
  <c r="D25" s="1"/>
  <c r="I21"/>
  <c r="M37"/>
  <c r="H37"/>
  <c r="E10"/>
  <c r="C26" s="1"/>
  <c r="F26" s="1"/>
  <c r="Q26" s="1"/>
  <c r="L37"/>
  <c r="G37"/>
  <c r="H21"/>
  <c r="AD38"/>
  <c r="AD92" s="1"/>
  <c r="AB83"/>
  <c r="C12"/>
  <c r="F11"/>
  <c r="D11"/>
  <c r="E11" s="1"/>
  <c r="C27" s="1"/>
  <c r="F27" s="1"/>
  <c r="Q27" s="1"/>
  <c r="N69"/>
  <c r="S49"/>
  <c r="Q9"/>
  <c r="E24" i="2" s="1"/>
  <c r="E9" i="22"/>
  <c r="C25" s="1"/>
  <c r="J37"/>
  <c r="N37"/>
  <c r="V19" s="1"/>
  <c r="Z69" s="1"/>
  <c r="I37"/>
  <c r="V18" s="1"/>
  <c r="Z68" s="1"/>
  <c r="G76" i="21"/>
  <c r="O28"/>
  <c r="G23" i="7" s="1"/>
  <c r="K9" i="21"/>
  <c r="D25" s="1"/>
  <c r="I21"/>
  <c r="M37"/>
  <c r="H37"/>
  <c r="E10"/>
  <c r="C26" s="1"/>
  <c r="F26" s="1"/>
  <c r="Q26" s="1"/>
  <c r="L37"/>
  <c r="G37"/>
  <c r="H21"/>
  <c r="AD38"/>
  <c r="AD92" s="1"/>
  <c r="AB83"/>
  <c r="C12"/>
  <c r="F11"/>
  <c r="D11"/>
  <c r="E11" s="1"/>
  <c r="C27" s="1"/>
  <c r="N69"/>
  <c r="S49"/>
  <c r="Q9"/>
  <c r="E23" i="2" s="1"/>
  <c r="E9" i="21"/>
  <c r="C25" s="1"/>
  <c r="J37"/>
  <c r="N37"/>
  <c r="V19" s="1"/>
  <c r="Z69" s="1"/>
  <c r="I37"/>
  <c r="V18" s="1"/>
  <c r="Z68" s="1"/>
  <c r="Q10" i="20"/>
  <c r="H22" i="2" s="1"/>
  <c r="G76" i="20"/>
  <c r="O28"/>
  <c r="G22" i="7" s="1"/>
  <c r="K9" i="20"/>
  <c r="D25" s="1"/>
  <c r="I21"/>
  <c r="M37"/>
  <c r="H37"/>
  <c r="E10"/>
  <c r="C26" s="1"/>
  <c r="F26" s="1"/>
  <c r="Q26" s="1"/>
  <c r="L37"/>
  <c r="G37"/>
  <c r="H21"/>
  <c r="AD38"/>
  <c r="AD92" s="1"/>
  <c r="AB83"/>
  <c r="C12"/>
  <c r="F11"/>
  <c r="D11"/>
  <c r="E11" s="1"/>
  <c r="C27" s="1"/>
  <c r="F27" s="1"/>
  <c r="Q27" s="1"/>
  <c r="N69"/>
  <c r="S49"/>
  <c r="Q9"/>
  <c r="E22" i="2" s="1"/>
  <c r="E9" i="20"/>
  <c r="C25" s="1"/>
  <c r="J37"/>
  <c r="N37"/>
  <c r="V19" s="1"/>
  <c r="Z69" s="1"/>
  <c r="I37"/>
  <c r="V18" s="1"/>
  <c r="Z68" s="1"/>
  <c r="G76" i="19"/>
  <c r="O28"/>
  <c r="G21" i="7" s="1"/>
  <c r="C12" i="19"/>
  <c r="F11"/>
  <c r="D11"/>
  <c r="E11" s="1"/>
  <c r="C27" s="1"/>
  <c r="F27" s="1"/>
  <c r="Q27" s="1"/>
  <c r="Q9"/>
  <c r="E21" i="2" s="1"/>
  <c r="N37" i="19"/>
  <c r="V19" s="1"/>
  <c r="Z69" s="1"/>
  <c r="I37"/>
  <c r="V18" s="1"/>
  <c r="Z68" s="1"/>
  <c r="M37"/>
  <c r="H37"/>
  <c r="Q10"/>
  <c r="H21" i="2" s="1"/>
  <c r="AD38" i="19"/>
  <c r="AD92" s="1"/>
  <c r="AB83"/>
  <c r="K9"/>
  <c r="D25" s="1"/>
  <c r="I21"/>
  <c r="N69"/>
  <c r="S49"/>
  <c r="L37"/>
  <c r="G37"/>
  <c r="H21"/>
  <c r="J37"/>
  <c r="G76" i="18"/>
  <c r="O28"/>
  <c r="G20" i="7" s="1"/>
  <c r="K9" i="18"/>
  <c r="D25" s="1"/>
  <c r="I21"/>
  <c r="M37"/>
  <c r="H37"/>
  <c r="E10"/>
  <c r="C26" s="1"/>
  <c r="F26" s="1"/>
  <c r="Q26" s="1"/>
  <c r="L37"/>
  <c r="G37"/>
  <c r="H21"/>
  <c r="AD38"/>
  <c r="AD92" s="1"/>
  <c r="AB83"/>
  <c r="C12"/>
  <c r="F11"/>
  <c r="D11"/>
  <c r="E11" s="1"/>
  <c r="C27" s="1"/>
  <c r="F27" s="1"/>
  <c r="Q27" s="1"/>
  <c r="N69"/>
  <c r="S49"/>
  <c r="Q9"/>
  <c r="E20" i="2" s="1"/>
  <c r="E9" i="18"/>
  <c r="C25" s="1"/>
  <c r="J37"/>
  <c r="N37"/>
  <c r="V19" s="1"/>
  <c r="Z69" s="1"/>
  <c r="I37"/>
  <c r="V18" s="1"/>
  <c r="Z68" s="1"/>
  <c r="G76" i="17"/>
  <c r="O28"/>
  <c r="G19" i="7" s="1"/>
  <c r="K9" i="17"/>
  <c r="D25" s="1"/>
  <c r="I21"/>
  <c r="C12"/>
  <c r="F11"/>
  <c r="D11"/>
  <c r="E11" s="1"/>
  <c r="C27" s="1"/>
  <c r="N69"/>
  <c r="L37"/>
  <c r="G37"/>
  <c r="H21"/>
  <c r="J37"/>
  <c r="Q10"/>
  <c r="H19" i="2" s="1"/>
  <c r="AD38" i="17"/>
  <c r="AD92" s="1"/>
  <c r="AB83"/>
  <c r="S49"/>
  <c r="Q9"/>
  <c r="E19" i="2" s="1"/>
  <c r="E9" i="17"/>
  <c r="C25" s="1"/>
  <c r="N37"/>
  <c r="V19" s="1"/>
  <c r="Z69" s="1"/>
  <c r="I37"/>
  <c r="V18" s="1"/>
  <c r="Z68" s="1"/>
  <c r="M37"/>
  <c r="H37"/>
  <c r="AD38" i="16"/>
  <c r="AD92" s="1"/>
  <c r="AB83"/>
  <c r="C12"/>
  <c r="F11"/>
  <c r="D11"/>
  <c r="E11" s="1"/>
  <c r="N69"/>
  <c r="S49"/>
  <c r="Q9"/>
  <c r="E18" i="2" s="1"/>
  <c r="E9" i="16"/>
  <c r="L37"/>
  <c r="G37"/>
  <c r="J37"/>
  <c r="Q10"/>
  <c r="H18" i="2" s="1"/>
  <c r="G76" i="16"/>
  <c r="O28"/>
  <c r="G18" i="7" s="1"/>
  <c r="K9" i="16"/>
  <c r="D25" s="1"/>
  <c r="I21"/>
  <c r="N37"/>
  <c r="V19" s="1"/>
  <c r="Z69" s="1"/>
  <c r="I37"/>
  <c r="V18" s="1"/>
  <c r="Z68" s="1"/>
  <c r="H21"/>
  <c r="M37"/>
  <c r="H37"/>
  <c r="C26" i="15"/>
  <c r="F26" s="1"/>
  <c r="Q26" s="1"/>
  <c r="G76"/>
  <c r="O28"/>
  <c r="G17" i="7" s="1"/>
  <c r="K9" i="15"/>
  <c r="D25" s="1"/>
  <c r="I21"/>
  <c r="C12"/>
  <c r="F11"/>
  <c r="D11"/>
  <c r="E11" s="1"/>
  <c r="N69"/>
  <c r="S49"/>
  <c r="N37"/>
  <c r="V19" s="1"/>
  <c r="Z69" s="1"/>
  <c r="I37"/>
  <c r="V18" s="1"/>
  <c r="Z68" s="1"/>
  <c r="H21"/>
  <c r="J37"/>
  <c r="Q10"/>
  <c r="H17" i="2" s="1"/>
  <c r="Q9" i="15"/>
  <c r="E17" i="2" s="1"/>
  <c r="E9" i="15"/>
  <c r="C25" s="1"/>
  <c r="L37"/>
  <c r="G37"/>
  <c r="AD38"/>
  <c r="AD92" s="1"/>
  <c r="M37"/>
  <c r="H37"/>
  <c r="P69" i="14"/>
  <c r="I21"/>
  <c r="K9"/>
  <c r="D25" s="1"/>
  <c r="E10"/>
  <c r="C26" s="1"/>
  <c r="F26" s="1"/>
  <c r="Q26" s="1"/>
  <c r="N37"/>
  <c r="V19" s="1"/>
  <c r="Z69" s="1"/>
  <c r="I37"/>
  <c r="V18" s="1"/>
  <c r="Z68" s="1"/>
  <c r="Q10"/>
  <c r="H16" i="2" s="1"/>
  <c r="M37" i="14"/>
  <c r="H37"/>
  <c r="G76"/>
  <c r="O28"/>
  <c r="G16" i="7" s="1"/>
  <c r="C12" i="14"/>
  <c r="F11"/>
  <c r="D11"/>
  <c r="S49"/>
  <c r="L37"/>
  <c r="G37"/>
  <c r="AD38"/>
  <c r="AD92" s="1"/>
  <c r="J37"/>
  <c r="G21"/>
  <c r="C11" i="13"/>
  <c r="F10"/>
  <c r="D10"/>
  <c r="E10" s="1"/>
  <c r="C26" s="1"/>
  <c r="F26" s="1"/>
  <c r="Q26" s="1"/>
  <c r="AB91"/>
  <c r="Z91"/>
  <c r="H107"/>
  <c r="M108" s="1"/>
  <c r="M111"/>
  <c r="I9"/>
  <c r="H11"/>
  <c r="H12" s="1"/>
  <c r="H13" s="1"/>
  <c r="H14" s="1"/>
  <c r="H15" s="1"/>
  <c r="H16" s="1"/>
  <c r="H17" s="1"/>
  <c r="H18" s="1"/>
  <c r="H19" s="1"/>
  <c r="H20" s="1"/>
  <c r="AB11"/>
  <c r="AB58" s="1"/>
  <c r="G21"/>
  <c r="G27"/>
  <c r="G28" s="1"/>
  <c r="G29" s="1"/>
  <c r="G30" s="1"/>
  <c r="G31" s="1"/>
  <c r="G32" s="1"/>
  <c r="G33" s="1"/>
  <c r="G34" s="1"/>
  <c r="G35" s="1"/>
  <c r="G36" s="1"/>
  <c r="I27"/>
  <c r="I28" s="1"/>
  <c r="I29" s="1"/>
  <c r="I30" s="1"/>
  <c r="I31" s="1"/>
  <c r="I32" s="1"/>
  <c r="I33" s="1"/>
  <c r="I34" s="1"/>
  <c r="I35" s="1"/>
  <c r="I36" s="1"/>
  <c r="L27"/>
  <c r="L28" s="1"/>
  <c r="L29" s="1"/>
  <c r="L30" s="1"/>
  <c r="L31" s="1"/>
  <c r="L32" s="1"/>
  <c r="L33" s="1"/>
  <c r="L34" s="1"/>
  <c r="L35" s="1"/>
  <c r="L36" s="1"/>
  <c r="N27"/>
  <c r="N28" s="1"/>
  <c r="N29" s="1"/>
  <c r="N30" s="1"/>
  <c r="N31" s="1"/>
  <c r="N32" s="1"/>
  <c r="N33" s="1"/>
  <c r="N34" s="1"/>
  <c r="N35" s="1"/>
  <c r="N36" s="1"/>
  <c r="O62"/>
  <c r="F76"/>
  <c r="Z89"/>
  <c r="S3"/>
  <c r="AB55" s="1"/>
  <c r="D9"/>
  <c r="F9"/>
  <c r="H27"/>
  <c r="H28" s="1"/>
  <c r="H29" s="1"/>
  <c r="H30" s="1"/>
  <c r="H31" s="1"/>
  <c r="H32" s="1"/>
  <c r="H33" s="1"/>
  <c r="H34" s="1"/>
  <c r="H35" s="1"/>
  <c r="H36" s="1"/>
  <c r="J27"/>
  <c r="J28" s="1"/>
  <c r="J29" s="1"/>
  <c r="J30" s="1"/>
  <c r="J31" s="1"/>
  <c r="J32" s="1"/>
  <c r="J33" s="1"/>
  <c r="J34" s="1"/>
  <c r="J35" s="1"/>
  <c r="J36" s="1"/>
  <c r="M27"/>
  <c r="M28" s="1"/>
  <c r="M29" s="1"/>
  <c r="M30" s="1"/>
  <c r="M31" s="1"/>
  <c r="M32" s="1"/>
  <c r="M33" s="1"/>
  <c r="M34" s="1"/>
  <c r="M35" s="1"/>
  <c r="M36" s="1"/>
  <c r="O27"/>
  <c r="M15" i="2" s="1"/>
  <c r="AB85" i="13"/>
  <c r="AB87"/>
  <c r="D36" i="1"/>
  <c r="D35"/>
  <c r="D34"/>
  <c r="D33"/>
  <c r="D32"/>
  <c r="D31"/>
  <c r="D29"/>
  <c r="D28"/>
  <c r="D27"/>
  <c r="K10"/>
  <c r="K11"/>
  <c r="K12"/>
  <c r="K13"/>
  <c r="K15"/>
  <c r="K16"/>
  <c r="K17"/>
  <c r="K18"/>
  <c r="K19"/>
  <c r="K20"/>
  <c r="F27" i="31" l="1"/>
  <c r="Q27" s="1"/>
  <c r="F12"/>
  <c r="D12"/>
  <c r="C13"/>
  <c r="E12"/>
  <c r="C28" s="1"/>
  <c r="F28" s="1"/>
  <c r="Q28" s="1"/>
  <c r="F25"/>
  <c r="Q25" s="1"/>
  <c r="H76"/>
  <c r="O29"/>
  <c r="J33" i="7" s="1"/>
  <c r="P69" i="31"/>
  <c r="Q11"/>
  <c r="H76" i="30"/>
  <c r="O29"/>
  <c r="J32" i="7" s="1"/>
  <c r="Q11" i="30"/>
  <c r="K32" i="2" s="1"/>
  <c r="P69" i="30"/>
  <c r="F12"/>
  <c r="D12"/>
  <c r="C13"/>
  <c r="E12"/>
  <c r="C28" s="1"/>
  <c r="F28" s="1"/>
  <c r="Q28" s="1"/>
  <c r="F25"/>
  <c r="Q25" s="1"/>
  <c r="F12" i="29"/>
  <c r="D12"/>
  <c r="C13"/>
  <c r="E12"/>
  <c r="C28" s="1"/>
  <c r="F28" s="1"/>
  <c r="Q28" s="1"/>
  <c r="H76"/>
  <c r="O29"/>
  <c r="J31" i="7" s="1"/>
  <c r="P69" i="29"/>
  <c r="F25"/>
  <c r="Q25" s="1"/>
  <c r="Q11"/>
  <c r="K31" i="2" s="1"/>
  <c r="H76" i="28"/>
  <c r="O29"/>
  <c r="J30" i="7" s="1"/>
  <c r="Q11" i="28"/>
  <c r="E11"/>
  <c r="C27" s="1"/>
  <c r="F27" s="1"/>
  <c r="Q27" s="1"/>
  <c r="F12"/>
  <c r="D12"/>
  <c r="C13"/>
  <c r="E12"/>
  <c r="C28" s="1"/>
  <c r="F28" s="1"/>
  <c r="Q28" s="1"/>
  <c r="P69"/>
  <c r="F25"/>
  <c r="Q25" s="1"/>
  <c r="F27" i="16"/>
  <c r="Q27" s="1"/>
  <c r="F27" i="17"/>
  <c r="Q27" s="1"/>
  <c r="F27" i="21"/>
  <c r="Q27" s="1"/>
  <c r="F12" i="27"/>
  <c r="D12"/>
  <c r="C13"/>
  <c r="E12"/>
  <c r="C28" s="1"/>
  <c r="F28" s="1"/>
  <c r="Q28" s="1"/>
  <c r="F25"/>
  <c r="Q25" s="1"/>
  <c r="H76"/>
  <c r="O29"/>
  <c r="J29" i="7" s="1"/>
  <c r="P69" i="27"/>
  <c r="Q11"/>
  <c r="K29" i="2" s="1"/>
  <c r="F12" i="26"/>
  <c r="D12"/>
  <c r="C13"/>
  <c r="E12"/>
  <c r="C28" s="1"/>
  <c r="F28" s="1"/>
  <c r="Q28" s="1"/>
  <c r="H76"/>
  <c r="O29"/>
  <c r="J28" i="7" s="1"/>
  <c r="P69" i="26"/>
  <c r="F25"/>
  <c r="Q25" s="1"/>
  <c r="Q11"/>
  <c r="K28" i="2" s="1"/>
  <c r="F12" i="25"/>
  <c r="D12"/>
  <c r="C13"/>
  <c r="E12"/>
  <c r="C28" s="1"/>
  <c r="F28" s="1"/>
  <c r="Q28" s="1"/>
  <c r="F25"/>
  <c r="Q25" s="1"/>
  <c r="H76"/>
  <c r="O29"/>
  <c r="J27" i="7" s="1"/>
  <c r="P69" i="25"/>
  <c r="Q11"/>
  <c r="P69" i="24"/>
  <c r="H76"/>
  <c r="O29"/>
  <c r="J26" i="7" s="1"/>
  <c r="F12" i="24"/>
  <c r="D12"/>
  <c r="C13"/>
  <c r="E12"/>
  <c r="C28" s="1"/>
  <c r="F28" s="1"/>
  <c r="Q28" s="1"/>
  <c r="F25"/>
  <c r="Q25" s="1"/>
  <c r="Q11"/>
  <c r="F12" i="23"/>
  <c r="D12"/>
  <c r="C13"/>
  <c r="E12"/>
  <c r="C28" s="1"/>
  <c r="F28" s="1"/>
  <c r="Q28" s="1"/>
  <c r="H76"/>
  <c r="O29"/>
  <c r="J25" i="7" s="1"/>
  <c r="P69" i="23"/>
  <c r="F25"/>
  <c r="Q25" s="1"/>
  <c r="Q11"/>
  <c r="F12" i="22"/>
  <c r="D12"/>
  <c r="C13"/>
  <c r="E12"/>
  <c r="C28" s="1"/>
  <c r="F28" s="1"/>
  <c r="Q28" s="1"/>
  <c r="H76"/>
  <c r="O29"/>
  <c r="J24" i="7" s="1"/>
  <c r="P69" i="22"/>
  <c r="F25"/>
  <c r="Q25" s="1"/>
  <c r="Q11"/>
  <c r="K24" i="2" s="1"/>
  <c r="F12" i="21"/>
  <c r="D12"/>
  <c r="C13"/>
  <c r="E12"/>
  <c r="C28" s="1"/>
  <c r="F28" s="1"/>
  <c r="Q28" s="1"/>
  <c r="H76"/>
  <c r="O29"/>
  <c r="J23" i="7" s="1"/>
  <c r="P69" i="21"/>
  <c r="F25"/>
  <c r="Q25" s="1"/>
  <c r="Q11"/>
  <c r="K23" i="2" s="1"/>
  <c r="F12" i="20"/>
  <c r="D12"/>
  <c r="C13"/>
  <c r="E12"/>
  <c r="C28" s="1"/>
  <c r="F28" s="1"/>
  <c r="Q28" s="1"/>
  <c r="H76"/>
  <c r="O29"/>
  <c r="J22" i="7" s="1"/>
  <c r="P69" i="20"/>
  <c r="F25"/>
  <c r="Q25" s="1"/>
  <c r="Q11"/>
  <c r="P69" i="19"/>
  <c r="F25"/>
  <c r="Q25" s="1"/>
  <c r="Q11"/>
  <c r="F12"/>
  <c r="D12"/>
  <c r="C13"/>
  <c r="E12"/>
  <c r="C28" s="1"/>
  <c r="F28" s="1"/>
  <c r="Q28" s="1"/>
  <c r="H76"/>
  <c r="O29"/>
  <c r="J21" i="7" s="1"/>
  <c r="F12" i="18"/>
  <c r="D12"/>
  <c r="C13"/>
  <c r="E12"/>
  <c r="C28" s="1"/>
  <c r="F28" s="1"/>
  <c r="Q28" s="1"/>
  <c r="H76"/>
  <c r="O29"/>
  <c r="J20" i="7" s="1"/>
  <c r="P69" i="18"/>
  <c r="F25"/>
  <c r="Q25" s="1"/>
  <c r="Q11"/>
  <c r="K20" i="2" s="1"/>
  <c r="P69" i="17"/>
  <c r="H76"/>
  <c r="O29"/>
  <c r="J19" i="7" s="1"/>
  <c r="Q11" i="17"/>
  <c r="K19" i="2" s="1"/>
  <c r="F12" i="17"/>
  <c r="D12"/>
  <c r="C13"/>
  <c r="E12"/>
  <c r="C28" s="1"/>
  <c r="F28" s="1"/>
  <c r="Q28" s="1"/>
  <c r="F25"/>
  <c r="Q25" s="1"/>
  <c r="H76" i="16"/>
  <c r="O29"/>
  <c r="J18" i="7" s="1"/>
  <c r="F12" i="16"/>
  <c r="D12"/>
  <c r="C13"/>
  <c r="E12"/>
  <c r="P69"/>
  <c r="Q11"/>
  <c r="C27" i="15"/>
  <c r="F27" s="1"/>
  <c r="Q27" s="1"/>
  <c r="P69"/>
  <c r="Q11"/>
  <c r="F12"/>
  <c r="D12"/>
  <c r="C13"/>
  <c r="E12"/>
  <c r="H76"/>
  <c r="O29"/>
  <c r="J17" i="7" s="1"/>
  <c r="H76" i="14"/>
  <c r="O29"/>
  <c r="J16" i="7" s="1"/>
  <c r="F25" i="14"/>
  <c r="Q25" s="1"/>
  <c r="Q11"/>
  <c r="K16" i="2" s="1"/>
  <c r="E11" i="14"/>
  <c r="C27" s="1"/>
  <c r="F27" s="1"/>
  <c r="Q27" s="1"/>
  <c r="F12"/>
  <c r="C13"/>
  <c r="J14" s="1"/>
  <c r="D12"/>
  <c r="Q12" s="1"/>
  <c r="E16" i="7" s="1"/>
  <c r="G76" i="13"/>
  <c r="O28"/>
  <c r="G15" i="7" s="1"/>
  <c r="K9" i="13"/>
  <c r="D25" s="1"/>
  <c r="I21"/>
  <c r="C12"/>
  <c r="F11"/>
  <c r="D11"/>
  <c r="E11" s="1"/>
  <c r="C27" s="1"/>
  <c r="F27" s="1"/>
  <c r="Q27" s="1"/>
  <c r="L37"/>
  <c r="G37"/>
  <c r="H21"/>
  <c r="J37"/>
  <c r="Q10"/>
  <c r="H15" i="2" s="1"/>
  <c r="AD38" i="13"/>
  <c r="AD92" s="1"/>
  <c r="AB83"/>
  <c r="N69"/>
  <c r="S49"/>
  <c r="Q9"/>
  <c r="E15" i="2" s="1"/>
  <c r="E9" i="13"/>
  <c r="C25" s="1"/>
  <c r="N37"/>
  <c r="V19" s="1"/>
  <c r="Z69" s="1"/>
  <c r="I37"/>
  <c r="V18" s="1"/>
  <c r="Z68" s="1"/>
  <c r="M37"/>
  <c r="H37"/>
  <c r="I77" i="1"/>
  <c r="Q79"/>
  <c r="P79"/>
  <c r="O79"/>
  <c r="N79"/>
  <c r="M79"/>
  <c r="L79"/>
  <c r="J79"/>
  <c r="I79"/>
  <c r="H79"/>
  <c r="G79"/>
  <c r="F79"/>
  <c r="D79"/>
  <c r="Q78"/>
  <c r="P78"/>
  <c r="O78"/>
  <c r="N78"/>
  <c r="M78"/>
  <c r="L78"/>
  <c r="J78"/>
  <c r="I78"/>
  <c r="H78"/>
  <c r="G78"/>
  <c r="F78"/>
  <c r="D78"/>
  <c r="Q80"/>
  <c r="P80"/>
  <c r="O80"/>
  <c r="N80"/>
  <c r="M80"/>
  <c r="L80"/>
  <c r="J80"/>
  <c r="I80"/>
  <c r="H80"/>
  <c r="G80"/>
  <c r="F80"/>
  <c r="D80"/>
  <c r="Q77"/>
  <c r="P77"/>
  <c r="O77"/>
  <c r="N77"/>
  <c r="M77"/>
  <c r="L77"/>
  <c r="J77"/>
  <c r="H77"/>
  <c r="G77"/>
  <c r="F77"/>
  <c r="D77"/>
  <c r="D76"/>
  <c r="H72"/>
  <c r="H71"/>
  <c r="H70"/>
  <c r="H69"/>
  <c r="J4"/>
  <c r="I9" i="3"/>
  <c r="D36"/>
  <c r="H35"/>
  <c r="B35"/>
  <c r="D9"/>
  <c r="Q8"/>
  <c r="Q7"/>
  <c r="M8"/>
  <c r="M7"/>
  <c r="J8"/>
  <c r="J7"/>
  <c r="F8"/>
  <c r="F7"/>
  <c r="C8"/>
  <c r="C7"/>
  <c r="A8"/>
  <c r="A7"/>
  <c r="E4"/>
  <c r="Q3"/>
  <c r="E3"/>
  <c r="C3"/>
  <c r="L3"/>
  <c r="A3"/>
  <c r="E2"/>
  <c r="A2"/>
  <c r="A15"/>
  <c r="B15"/>
  <c r="C15"/>
  <c r="D15"/>
  <c r="A16"/>
  <c r="B16"/>
  <c r="C16"/>
  <c r="D16"/>
  <c r="A17"/>
  <c r="B17"/>
  <c r="C17"/>
  <c r="D17"/>
  <c r="A18"/>
  <c r="B18"/>
  <c r="C18"/>
  <c r="D18"/>
  <c r="A19"/>
  <c r="B19"/>
  <c r="C19"/>
  <c r="D19"/>
  <c r="A20"/>
  <c r="B20"/>
  <c r="C20"/>
  <c r="D20"/>
  <c r="A21"/>
  <c r="B21"/>
  <c r="C21"/>
  <c r="D21"/>
  <c r="A22"/>
  <c r="B22"/>
  <c r="C22"/>
  <c r="D22"/>
  <c r="A23"/>
  <c r="B23"/>
  <c r="C23"/>
  <c r="D23"/>
  <c r="A24"/>
  <c r="B24"/>
  <c r="C24"/>
  <c r="D24"/>
  <c r="A25"/>
  <c r="B25"/>
  <c r="C25"/>
  <c r="D25"/>
  <c r="A26"/>
  <c r="B26"/>
  <c r="C26"/>
  <c r="D26"/>
  <c r="A27"/>
  <c r="B27"/>
  <c r="C27"/>
  <c r="D27"/>
  <c r="A28"/>
  <c r="B28"/>
  <c r="C28"/>
  <c r="D28"/>
  <c r="A29"/>
  <c r="B29"/>
  <c r="C29"/>
  <c r="D29"/>
  <c r="A30"/>
  <c r="B30"/>
  <c r="C30"/>
  <c r="D30"/>
  <c r="A31"/>
  <c r="B31"/>
  <c r="C31"/>
  <c r="D31"/>
  <c r="A32"/>
  <c r="B32"/>
  <c r="C32"/>
  <c r="D32"/>
  <c r="A33"/>
  <c r="B33"/>
  <c r="C33"/>
  <c r="D33"/>
  <c r="D14"/>
  <c r="C14"/>
  <c r="B14"/>
  <c r="A14"/>
  <c r="E2" i="11"/>
  <c r="E2" i="9"/>
  <c r="E2" i="7"/>
  <c r="E2" i="2"/>
  <c r="A2" i="1"/>
  <c r="F2"/>
  <c r="C2" i="4"/>
  <c r="A2"/>
  <c r="A2" i="11" s="1"/>
  <c r="L14"/>
  <c r="I14"/>
  <c r="F14"/>
  <c r="C36"/>
  <c r="E35"/>
  <c r="B35"/>
  <c r="N8"/>
  <c r="H8"/>
  <c r="C8"/>
  <c r="N7"/>
  <c r="H7"/>
  <c r="C7"/>
  <c r="H9"/>
  <c r="O33"/>
  <c r="O33" i="3" s="1"/>
  <c r="D33" i="11"/>
  <c r="C33"/>
  <c r="B33"/>
  <c r="A33"/>
  <c r="O32"/>
  <c r="O32" i="3" s="1"/>
  <c r="D32" i="11"/>
  <c r="C32"/>
  <c r="B32"/>
  <c r="A32"/>
  <c r="O31"/>
  <c r="O31" i="3" s="1"/>
  <c r="D31" i="11"/>
  <c r="C31"/>
  <c r="B31"/>
  <c r="A31"/>
  <c r="O30"/>
  <c r="O30" i="3" s="1"/>
  <c r="D30" i="11"/>
  <c r="C30"/>
  <c r="B30"/>
  <c r="A30"/>
  <c r="O29"/>
  <c r="O29" i="3" s="1"/>
  <c r="D29" i="11"/>
  <c r="C29"/>
  <c r="B29"/>
  <c r="A29"/>
  <c r="O28"/>
  <c r="O28" i="3" s="1"/>
  <c r="D28" i="11"/>
  <c r="C28"/>
  <c r="B28"/>
  <c r="A28"/>
  <c r="O27"/>
  <c r="O27" i="3" s="1"/>
  <c r="D27" i="11"/>
  <c r="C27"/>
  <c r="B27"/>
  <c r="A27"/>
  <c r="O26"/>
  <c r="O26" i="3" s="1"/>
  <c r="D26" i="11"/>
  <c r="C26"/>
  <c r="B26"/>
  <c r="A26"/>
  <c r="O25"/>
  <c r="O25" i="3" s="1"/>
  <c r="D25" i="11"/>
  <c r="C25"/>
  <c r="B25"/>
  <c r="A25"/>
  <c r="O24"/>
  <c r="O24" i="3" s="1"/>
  <c r="D24" i="11"/>
  <c r="C24"/>
  <c r="B24"/>
  <c r="A24"/>
  <c r="O23"/>
  <c r="O23" i="3" s="1"/>
  <c r="D23" i="11"/>
  <c r="C23"/>
  <c r="B23"/>
  <c r="A23"/>
  <c r="O22"/>
  <c r="O22" i="3" s="1"/>
  <c r="D22" i="11"/>
  <c r="C22"/>
  <c r="B22"/>
  <c r="A22"/>
  <c r="O21"/>
  <c r="O21" i="3" s="1"/>
  <c r="D21" i="11"/>
  <c r="C21"/>
  <c r="B21"/>
  <c r="A21"/>
  <c r="O20"/>
  <c r="O20" i="3" s="1"/>
  <c r="D20" i="11"/>
  <c r="C20"/>
  <c r="B20"/>
  <c r="A20"/>
  <c r="O19"/>
  <c r="O19" i="3" s="1"/>
  <c r="D19" i="11"/>
  <c r="C19"/>
  <c r="B19"/>
  <c r="A19"/>
  <c r="O18"/>
  <c r="O18" i="3" s="1"/>
  <c r="D18" i="11"/>
  <c r="C18"/>
  <c r="B18"/>
  <c r="A18"/>
  <c r="O17"/>
  <c r="O17" i="3" s="1"/>
  <c r="D17" i="11"/>
  <c r="C17"/>
  <c r="B17"/>
  <c r="A17"/>
  <c r="O16"/>
  <c r="O16" i="3" s="1"/>
  <c r="D16" i="11"/>
  <c r="C16"/>
  <c r="B16"/>
  <c r="A16"/>
  <c r="O15"/>
  <c r="O15" i="3" s="1"/>
  <c r="D15" i="11"/>
  <c r="C15"/>
  <c r="B15"/>
  <c r="A15"/>
  <c r="D14"/>
  <c r="C14"/>
  <c r="B14"/>
  <c r="A14"/>
  <c r="C9"/>
  <c r="K8"/>
  <c r="E8"/>
  <c r="A8"/>
  <c r="K7"/>
  <c r="E7"/>
  <c r="A7"/>
  <c r="N3"/>
  <c r="J3"/>
  <c r="C3"/>
  <c r="A3"/>
  <c r="L14" i="9"/>
  <c r="I14"/>
  <c r="F14"/>
  <c r="C36"/>
  <c r="E35"/>
  <c r="B35"/>
  <c r="H8"/>
  <c r="C8"/>
  <c r="N8"/>
  <c r="N7"/>
  <c r="H7"/>
  <c r="C7"/>
  <c r="H9"/>
  <c r="O33"/>
  <c r="L33" i="3" s="1"/>
  <c r="D33" i="9"/>
  <c r="C33"/>
  <c r="B33"/>
  <c r="A33"/>
  <c r="O32"/>
  <c r="L32" i="3" s="1"/>
  <c r="D32" i="9"/>
  <c r="C32"/>
  <c r="B32"/>
  <c r="A32"/>
  <c r="O31"/>
  <c r="L31" i="3" s="1"/>
  <c r="D31" i="9"/>
  <c r="C31"/>
  <c r="B31"/>
  <c r="A31"/>
  <c r="O30"/>
  <c r="L30" i="3" s="1"/>
  <c r="D30" i="9"/>
  <c r="C30"/>
  <c r="B30"/>
  <c r="A30"/>
  <c r="O29"/>
  <c r="L29" i="3" s="1"/>
  <c r="D29" i="9"/>
  <c r="C29"/>
  <c r="B29"/>
  <c r="A29"/>
  <c r="O28"/>
  <c r="L28" i="3" s="1"/>
  <c r="D28" i="9"/>
  <c r="C28"/>
  <c r="B28"/>
  <c r="A28"/>
  <c r="O27"/>
  <c r="L27" i="3" s="1"/>
  <c r="D27" i="9"/>
  <c r="C27"/>
  <c r="B27"/>
  <c r="A27"/>
  <c r="O26"/>
  <c r="L26" i="3" s="1"/>
  <c r="D26" i="9"/>
  <c r="C26"/>
  <c r="B26"/>
  <c r="A26"/>
  <c r="O25"/>
  <c r="L25" i="3" s="1"/>
  <c r="D25" i="9"/>
  <c r="C25"/>
  <c r="B25"/>
  <c r="A25"/>
  <c r="O24"/>
  <c r="L24" i="3" s="1"/>
  <c r="D24" i="9"/>
  <c r="C24"/>
  <c r="B24"/>
  <c r="A24"/>
  <c r="O23"/>
  <c r="L23" i="3" s="1"/>
  <c r="D23" i="9"/>
  <c r="C23"/>
  <c r="B23"/>
  <c r="A23"/>
  <c r="O22"/>
  <c r="L22" i="3" s="1"/>
  <c r="D22" i="9"/>
  <c r="C22"/>
  <c r="B22"/>
  <c r="A22"/>
  <c r="O21"/>
  <c r="L21" i="3" s="1"/>
  <c r="D21" i="9"/>
  <c r="C21"/>
  <c r="B21"/>
  <c r="A21"/>
  <c r="O20"/>
  <c r="L20" i="3" s="1"/>
  <c r="D20" i="9"/>
  <c r="C20"/>
  <c r="B20"/>
  <c r="A20"/>
  <c r="O19"/>
  <c r="L19" i="3" s="1"/>
  <c r="D19" i="9"/>
  <c r="C19"/>
  <c r="B19"/>
  <c r="A19"/>
  <c r="O18"/>
  <c r="L18" i="3" s="1"/>
  <c r="D18" i="9"/>
  <c r="C18"/>
  <c r="B18"/>
  <c r="A18"/>
  <c r="O17"/>
  <c r="L17" i="3" s="1"/>
  <c r="D17" i="9"/>
  <c r="C17"/>
  <c r="B17"/>
  <c r="A17"/>
  <c r="O16"/>
  <c r="L16" i="3" s="1"/>
  <c r="D16" i="9"/>
  <c r="C16"/>
  <c r="B16"/>
  <c r="A16"/>
  <c r="O15"/>
  <c r="L15" i="3" s="1"/>
  <c r="D15" i="9"/>
  <c r="C15"/>
  <c r="B15"/>
  <c r="A15"/>
  <c r="D14"/>
  <c r="C14"/>
  <c r="B14"/>
  <c r="A14"/>
  <c r="C9"/>
  <c r="K8"/>
  <c r="E8"/>
  <c r="A8"/>
  <c r="K7"/>
  <c r="E7"/>
  <c r="A7"/>
  <c r="N3"/>
  <c r="J3"/>
  <c r="C3"/>
  <c r="A3"/>
  <c r="A65" i="1"/>
  <c r="L14" i="7"/>
  <c r="I14"/>
  <c r="F14"/>
  <c r="C36"/>
  <c r="E35"/>
  <c r="B35"/>
  <c r="H9"/>
  <c r="N8"/>
  <c r="H8"/>
  <c r="C8"/>
  <c r="N7"/>
  <c r="H7"/>
  <c r="C7"/>
  <c r="O33"/>
  <c r="I33" i="3" s="1"/>
  <c r="D33" i="7"/>
  <c r="C33"/>
  <c r="B33"/>
  <c r="A33"/>
  <c r="O32"/>
  <c r="I32" i="3" s="1"/>
  <c r="D32" i="7"/>
  <c r="C32"/>
  <c r="B32"/>
  <c r="A32"/>
  <c r="O31"/>
  <c r="I31" i="3" s="1"/>
  <c r="D31" i="7"/>
  <c r="C31"/>
  <c r="B31"/>
  <c r="A31"/>
  <c r="O30"/>
  <c r="I30" i="3" s="1"/>
  <c r="D30" i="7"/>
  <c r="C30"/>
  <c r="B30"/>
  <c r="A30"/>
  <c r="O29"/>
  <c r="I29" i="3" s="1"/>
  <c r="D29" i="7"/>
  <c r="C29"/>
  <c r="B29"/>
  <c r="A29"/>
  <c r="O28"/>
  <c r="I28" i="3" s="1"/>
  <c r="D28" i="7"/>
  <c r="C28"/>
  <c r="B28"/>
  <c r="A28"/>
  <c r="O27"/>
  <c r="I27" i="3" s="1"/>
  <c r="D27" i="7"/>
  <c r="C27"/>
  <c r="B27"/>
  <c r="A27"/>
  <c r="O26"/>
  <c r="I26" i="3" s="1"/>
  <c r="D26" i="7"/>
  <c r="C26"/>
  <c r="B26"/>
  <c r="A26"/>
  <c r="O25"/>
  <c r="I25" i="3" s="1"/>
  <c r="D25" i="7"/>
  <c r="C25"/>
  <c r="B25"/>
  <c r="A25"/>
  <c r="O24"/>
  <c r="I24" i="3" s="1"/>
  <c r="D24" i="7"/>
  <c r="C24"/>
  <c r="B24"/>
  <c r="A24"/>
  <c r="O23"/>
  <c r="I23" i="3" s="1"/>
  <c r="D23" i="7"/>
  <c r="C23"/>
  <c r="B23"/>
  <c r="A23"/>
  <c r="O22"/>
  <c r="I22" i="3" s="1"/>
  <c r="D22" i="7"/>
  <c r="C22"/>
  <c r="B22"/>
  <c r="A22"/>
  <c r="O21"/>
  <c r="I21" i="3" s="1"/>
  <c r="D21" i="7"/>
  <c r="C21"/>
  <c r="B21"/>
  <c r="A21"/>
  <c r="O20"/>
  <c r="I20" i="3" s="1"/>
  <c r="D20" i="7"/>
  <c r="C20"/>
  <c r="B20"/>
  <c r="A20"/>
  <c r="O19"/>
  <c r="I19" i="3" s="1"/>
  <c r="D19" i="7"/>
  <c r="C19"/>
  <c r="B19"/>
  <c r="A19"/>
  <c r="O18"/>
  <c r="I18" i="3" s="1"/>
  <c r="D18" i="7"/>
  <c r="C18"/>
  <c r="B18"/>
  <c r="A18"/>
  <c r="O17"/>
  <c r="I17" i="3" s="1"/>
  <c r="D17" i="7"/>
  <c r="C17"/>
  <c r="B17"/>
  <c r="A17"/>
  <c r="O16"/>
  <c r="I16" i="3" s="1"/>
  <c r="D16" i="7"/>
  <c r="C16"/>
  <c r="B16"/>
  <c r="A16"/>
  <c r="O15"/>
  <c r="I15" i="3" s="1"/>
  <c r="D15" i="7"/>
  <c r="C15"/>
  <c r="B15"/>
  <c r="A15"/>
  <c r="D14"/>
  <c r="C14"/>
  <c r="B14"/>
  <c r="A14"/>
  <c r="C9"/>
  <c r="K8"/>
  <c r="E8"/>
  <c r="A8"/>
  <c r="K7"/>
  <c r="E7"/>
  <c r="A7"/>
  <c r="N3"/>
  <c r="J3"/>
  <c r="C3"/>
  <c r="A3"/>
  <c r="B35" i="2"/>
  <c r="E35"/>
  <c r="H26" i="1"/>
  <c r="H27" s="1"/>
  <c r="H28" s="1"/>
  <c r="H29" s="1"/>
  <c r="H30" s="1"/>
  <c r="H31" s="1"/>
  <c r="H32" s="1"/>
  <c r="H33" s="1"/>
  <c r="H34" s="1"/>
  <c r="H35" s="1"/>
  <c r="H36" s="1"/>
  <c r="H10"/>
  <c r="H11" s="1"/>
  <c r="H12" s="1"/>
  <c r="H13" s="1"/>
  <c r="H14" s="1"/>
  <c r="H15" s="1"/>
  <c r="H16" s="1"/>
  <c r="H17" s="1"/>
  <c r="H18" s="1"/>
  <c r="H19" s="1"/>
  <c r="H20" s="1"/>
  <c r="L14" i="2"/>
  <c r="I14"/>
  <c r="F14"/>
  <c r="T104" i="1"/>
  <c r="Z103"/>
  <c r="T103"/>
  <c r="P86"/>
  <c r="P85"/>
  <c r="P84"/>
  <c r="AD18"/>
  <c r="P87"/>
  <c r="N87"/>
  <c r="J87"/>
  <c r="F87"/>
  <c r="B87"/>
  <c r="C36" i="2"/>
  <c r="N32"/>
  <c r="E32" i="3" s="1"/>
  <c r="O32" i="2"/>
  <c r="F32" i="3" s="1"/>
  <c r="P32" i="2"/>
  <c r="G32" i="3" s="1"/>
  <c r="O33" i="2"/>
  <c r="F33" i="3" s="1"/>
  <c r="P33" i="2"/>
  <c r="G33" i="3" s="1"/>
  <c r="B32" i="2"/>
  <c r="C32"/>
  <c r="D32"/>
  <c r="B33"/>
  <c r="C33"/>
  <c r="D33"/>
  <c r="A32"/>
  <c r="A33"/>
  <c r="B15"/>
  <c r="C15"/>
  <c r="D15"/>
  <c r="B16"/>
  <c r="C16"/>
  <c r="D16"/>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D14"/>
  <c r="C14"/>
  <c r="B14"/>
  <c r="A16"/>
  <c r="A17"/>
  <c r="A18"/>
  <c r="A19"/>
  <c r="A20"/>
  <c r="A21"/>
  <c r="A22"/>
  <c r="A23"/>
  <c r="A24"/>
  <c r="A25"/>
  <c r="A26"/>
  <c r="A27"/>
  <c r="A28"/>
  <c r="A29"/>
  <c r="A30"/>
  <c r="A31"/>
  <c r="A15"/>
  <c r="A14"/>
  <c r="H9"/>
  <c r="C9"/>
  <c r="H8"/>
  <c r="H7"/>
  <c r="K8"/>
  <c r="K7"/>
  <c r="N8"/>
  <c r="N7"/>
  <c r="E8"/>
  <c r="E7"/>
  <c r="C8"/>
  <c r="A8"/>
  <c r="C7"/>
  <c r="A7"/>
  <c r="J3"/>
  <c r="N3"/>
  <c r="C3"/>
  <c r="A3"/>
  <c r="O15"/>
  <c r="F15" i="3" s="1"/>
  <c r="P15" i="2"/>
  <c r="G15" i="3" s="1"/>
  <c r="N16" i="2"/>
  <c r="E16" i="3" s="1"/>
  <c r="O16" i="2"/>
  <c r="F16" i="3" s="1"/>
  <c r="P16" i="2"/>
  <c r="G16" i="3" s="1"/>
  <c r="O17" i="2"/>
  <c r="F17" i="3" s="1"/>
  <c r="P17" i="2"/>
  <c r="G17" i="3" s="1"/>
  <c r="O18" i="2"/>
  <c r="F18" i="3" s="1"/>
  <c r="P18" i="2"/>
  <c r="G18" i="3" s="1"/>
  <c r="N19" i="2"/>
  <c r="E19" i="3" s="1"/>
  <c r="O19" i="2"/>
  <c r="F19" i="3" s="1"/>
  <c r="P19" i="2"/>
  <c r="G19" i="3" s="1"/>
  <c r="N20" i="2"/>
  <c r="E20" i="3" s="1"/>
  <c r="O20" i="2"/>
  <c r="F20" i="3" s="1"/>
  <c r="P20" i="2"/>
  <c r="G20" i="3" s="1"/>
  <c r="O21" i="2"/>
  <c r="F21" i="3" s="1"/>
  <c r="P21" i="2"/>
  <c r="G21" i="3" s="1"/>
  <c r="O22" i="2"/>
  <c r="F22" i="3" s="1"/>
  <c r="P22" i="2"/>
  <c r="G22" i="3" s="1"/>
  <c r="N23" i="2"/>
  <c r="E23" i="3" s="1"/>
  <c r="O23" i="2"/>
  <c r="F23" i="3" s="1"/>
  <c r="P23" i="2"/>
  <c r="G23" i="3" s="1"/>
  <c r="N24" i="2"/>
  <c r="E24" i="3" s="1"/>
  <c r="O24" i="2"/>
  <c r="F24" i="3" s="1"/>
  <c r="P24" i="2"/>
  <c r="G24" i="3" s="1"/>
  <c r="O25" i="2"/>
  <c r="F25" i="3" s="1"/>
  <c r="P25" i="2"/>
  <c r="G25" i="3" s="1"/>
  <c r="O26" i="2"/>
  <c r="F26" i="3" s="1"/>
  <c r="P26" i="2"/>
  <c r="G26" i="3" s="1"/>
  <c r="O27" i="2"/>
  <c r="F27" i="3" s="1"/>
  <c r="P27" i="2"/>
  <c r="G27" i="3" s="1"/>
  <c r="N28" i="2"/>
  <c r="E28" i="3" s="1"/>
  <c r="O28" i="2"/>
  <c r="F28" i="3" s="1"/>
  <c r="P28" i="2"/>
  <c r="G28" i="3" s="1"/>
  <c r="N29" i="2"/>
  <c r="E29" i="3" s="1"/>
  <c r="O29" i="2"/>
  <c r="F29" i="3" s="1"/>
  <c r="P29" i="2"/>
  <c r="G29" i="3" s="1"/>
  <c r="O30" i="2"/>
  <c r="F30" i="3" s="1"/>
  <c r="P30" i="2"/>
  <c r="G30" i="3" s="1"/>
  <c r="N31" i="2"/>
  <c r="E31" i="3" s="1"/>
  <c r="O31" i="2"/>
  <c r="F31" i="3" s="1"/>
  <c r="P31" i="2"/>
  <c r="G31" i="3" s="1"/>
  <c r="G14" i="2"/>
  <c r="J69" i="29" l="1"/>
  <c r="J69" i="22"/>
  <c r="J69" i="28"/>
  <c r="K30" i="2"/>
  <c r="N30" s="1"/>
  <c r="E30" i="3" s="1"/>
  <c r="J69" i="31"/>
  <c r="K33" i="2"/>
  <c r="N33" s="1"/>
  <c r="E33" i="3" s="1"/>
  <c r="J69" i="21"/>
  <c r="F13" i="31"/>
  <c r="D13"/>
  <c r="J14"/>
  <c r="C14"/>
  <c r="I76"/>
  <c r="O30"/>
  <c r="M33" i="7" s="1"/>
  <c r="P33" s="1"/>
  <c r="J33" i="3" s="1"/>
  <c r="Q12" i="31"/>
  <c r="E33" i="7" s="1"/>
  <c r="I76" i="30"/>
  <c r="O30"/>
  <c r="M32" i="7" s="1"/>
  <c r="P32" s="1"/>
  <c r="J32" i="3" s="1"/>
  <c r="Q12" i="30"/>
  <c r="E32" i="7" s="1"/>
  <c r="J69" i="30"/>
  <c r="F13"/>
  <c r="D13"/>
  <c r="J14"/>
  <c r="C14"/>
  <c r="N70"/>
  <c r="V49"/>
  <c r="I76" i="29"/>
  <c r="O30"/>
  <c r="M31" i="7" s="1"/>
  <c r="P31" s="1"/>
  <c r="J31" i="3" s="1"/>
  <c r="F13" i="29"/>
  <c r="D13"/>
  <c r="E13" s="1"/>
  <c r="C29" s="1"/>
  <c r="F29" s="1"/>
  <c r="Q29" s="1"/>
  <c r="J14"/>
  <c r="C14"/>
  <c r="N70"/>
  <c r="V49"/>
  <c r="Q12"/>
  <c r="E31" i="7" s="1"/>
  <c r="Q12" i="28"/>
  <c r="E30" i="7" s="1"/>
  <c r="F13" i="28"/>
  <c r="D13"/>
  <c r="E13" s="1"/>
  <c r="C29" s="1"/>
  <c r="F29" s="1"/>
  <c r="Q29" s="1"/>
  <c r="J14"/>
  <c r="C14"/>
  <c r="I76"/>
  <c r="O30"/>
  <c r="M30" i="7" s="1"/>
  <c r="P30" s="1"/>
  <c r="J30" i="3" s="1"/>
  <c r="J69" i="19"/>
  <c r="K21" i="2"/>
  <c r="N21" s="1"/>
  <c r="E21" i="3" s="1"/>
  <c r="J69" i="23"/>
  <c r="K25" i="2"/>
  <c r="N25" s="1"/>
  <c r="E25" i="3" s="1"/>
  <c r="J69" i="25"/>
  <c r="K27" i="2"/>
  <c r="N27" s="1"/>
  <c r="E27" i="3" s="1"/>
  <c r="J69" i="26"/>
  <c r="J69" i="16"/>
  <c r="K18" i="2"/>
  <c r="N18" s="1"/>
  <c r="E18" i="3" s="1"/>
  <c r="F28" i="16"/>
  <c r="Q28" s="1"/>
  <c r="J69" i="20"/>
  <c r="K22" i="2"/>
  <c r="N22" s="1"/>
  <c r="E22" i="3" s="1"/>
  <c r="J69" i="24"/>
  <c r="K26" i="2"/>
  <c r="N26" s="1"/>
  <c r="E26" i="3" s="1"/>
  <c r="R32"/>
  <c r="Q12" i="16"/>
  <c r="E18" i="7" s="1"/>
  <c r="J69" i="18"/>
  <c r="I76" i="27"/>
  <c r="O30"/>
  <c r="M29" i="7" s="1"/>
  <c r="P29" s="1"/>
  <c r="J29" i="3" s="1"/>
  <c r="F13" i="27"/>
  <c r="D13"/>
  <c r="J14"/>
  <c r="C14"/>
  <c r="J69"/>
  <c r="V49"/>
  <c r="Q12"/>
  <c r="E29" i="7" s="1"/>
  <c r="I76" i="26"/>
  <c r="O30"/>
  <c r="M28" i="7" s="1"/>
  <c r="P28" s="1"/>
  <c r="J28" i="3" s="1"/>
  <c r="F13" i="26"/>
  <c r="D13"/>
  <c r="E13" s="1"/>
  <c r="C29" s="1"/>
  <c r="F29" s="1"/>
  <c r="Q29" s="1"/>
  <c r="J14"/>
  <c r="C14"/>
  <c r="Q12"/>
  <c r="E28" i="7" s="1"/>
  <c r="F13" i="25"/>
  <c r="D13"/>
  <c r="E13" s="1"/>
  <c r="C29" s="1"/>
  <c r="F29" s="1"/>
  <c r="Q29" s="1"/>
  <c r="J14"/>
  <c r="C14"/>
  <c r="I76"/>
  <c r="O30"/>
  <c r="M27" i="7" s="1"/>
  <c r="P27" s="1"/>
  <c r="J27" i="3" s="1"/>
  <c r="Q12" i="25"/>
  <c r="E27" i="7" s="1"/>
  <c r="Q12" i="24"/>
  <c r="E26" i="7" s="1"/>
  <c r="F13" i="24"/>
  <c r="D13"/>
  <c r="J14"/>
  <c r="C14"/>
  <c r="I76"/>
  <c r="O30"/>
  <c r="M26" i="7" s="1"/>
  <c r="P26" s="1"/>
  <c r="J26" i="3" s="1"/>
  <c r="Q12" i="23"/>
  <c r="E25" i="7" s="1"/>
  <c r="I76" i="23"/>
  <c r="O30"/>
  <c r="M25" i="7" s="1"/>
  <c r="P25" s="1"/>
  <c r="J25" i="3" s="1"/>
  <c r="F13" i="23"/>
  <c r="D13"/>
  <c r="E13" s="1"/>
  <c r="C29" s="1"/>
  <c r="F29" s="1"/>
  <c r="Q29" s="1"/>
  <c r="J14"/>
  <c r="C14"/>
  <c r="R24" i="3"/>
  <c r="I76" i="22"/>
  <c r="O30"/>
  <c r="M24" i="7" s="1"/>
  <c r="P24" s="1"/>
  <c r="J24" i="3" s="1"/>
  <c r="F13" i="22"/>
  <c r="D13"/>
  <c r="E13" s="1"/>
  <c r="C29" s="1"/>
  <c r="F29" s="1"/>
  <c r="Q29" s="1"/>
  <c r="J14"/>
  <c r="C14"/>
  <c r="Q12"/>
  <c r="E24" i="7" s="1"/>
  <c r="I76" i="21"/>
  <c r="O30"/>
  <c r="M23" i="7" s="1"/>
  <c r="P23" s="1"/>
  <c r="J23" i="3" s="1"/>
  <c r="F13" i="21"/>
  <c r="D13"/>
  <c r="E13" s="1"/>
  <c r="C29" s="1"/>
  <c r="F29" s="1"/>
  <c r="Q29" s="1"/>
  <c r="J14"/>
  <c r="C14"/>
  <c r="Q12"/>
  <c r="E23" i="7" s="1"/>
  <c r="Q12" i="20"/>
  <c r="E22" i="7" s="1"/>
  <c r="I76" i="20"/>
  <c r="O30"/>
  <c r="M22" i="7" s="1"/>
  <c r="P22" s="1"/>
  <c r="J22" i="3" s="1"/>
  <c r="F13" i="20"/>
  <c r="D13"/>
  <c r="E13" s="1"/>
  <c r="C29" s="1"/>
  <c r="F29" s="1"/>
  <c r="Q29" s="1"/>
  <c r="J14"/>
  <c r="C14"/>
  <c r="I76" i="19"/>
  <c r="O30"/>
  <c r="M21" i="7" s="1"/>
  <c r="P21" s="1"/>
  <c r="J21" i="3" s="1"/>
  <c r="F13" i="19"/>
  <c r="D13"/>
  <c r="E13" s="1"/>
  <c r="C29" s="1"/>
  <c r="F29" s="1"/>
  <c r="Q29" s="1"/>
  <c r="J14"/>
  <c r="C14"/>
  <c r="Q12"/>
  <c r="E21" i="7" s="1"/>
  <c r="I76" i="18"/>
  <c r="O30"/>
  <c r="M20" i="7" s="1"/>
  <c r="P20" s="1"/>
  <c r="J20" i="3" s="1"/>
  <c r="F13" i="18"/>
  <c r="D13"/>
  <c r="E13" s="1"/>
  <c r="C29" s="1"/>
  <c r="F29" s="1"/>
  <c r="Q29" s="1"/>
  <c r="J14"/>
  <c r="C14"/>
  <c r="Q12"/>
  <c r="E20" i="7" s="1"/>
  <c r="F13" i="17"/>
  <c r="D13"/>
  <c r="J14"/>
  <c r="C14"/>
  <c r="I76"/>
  <c r="O30"/>
  <c r="M19" i="7" s="1"/>
  <c r="P19" s="1"/>
  <c r="J19" i="3" s="1"/>
  <c r="J69" i="17"/>
  <c r="Q12"/>
  <c r="E19" i="7" s="1"/>
  <c r="F25" i="16"/>
  <c r="Q25" s="1"/>
  <c r="F13"/>
  <c r="D13"/>
  <c r="E13" s="1"/>
  <c r="J14"/>
  <c r="C14"/>
  <c r="I76"/>
  <c r="O30"/>
  <c r="M18" i="7" s="1"/>
  <c r="P18" s="1"/>
  <c r="J18" i="3" s="1"/>
  <c r="C28" i="15"/>
  <c r="F28" s="1"/>
  <c r="Q28" s="1"/>
  <c r="J69"/>
  <c r="K17" i="2"/>
  <c r="N17" s="1"/>
  <c r="E17" i="3" s="1"/>
  <c r="F25" i="15"/>
  <c r="Q25" s="1"/>
  <c r="Q12"/>
  <c r="E17" i="7" s="1"/>
  <c r="I76" i="15"/>
  <c r="O30"/>
  <c r="M17" i="7" s="1"/>
  <c r="P17" s="1"/>
  <c r="J17" i="3" s="1"/>
  <c r="F13" i="15"/>
  <c r="D13"/>
  <c r="E13" s="1"/>
  <c r="J14"/>
  <c r="C14"/>
  <c r="R16" i="3"/>
  <c r="E12" i="14"/>
  <c r="C28" s="1"/>
  <c r="F28" s="1"/>
  <c r="Q28" s="1"/>
  <c r="F13"/>
  <c r="C14"/>
  <c r="D13"/>
  <c r="Q13" s="1"/>
  <c r="H16" i="7" s="1"/>
  <c r="I76" i="14"/>
  <c r="O30"/>
  <c r="M16" i="7" s="1"/>
  <c r="P16" s="1"/>
  <c r="J16" i="3" s="1"/>
  <c r="J69" i="14"/>
  <c r="P69" i="13"/>
  <c r="H76"/>
  <c r="O29"/>
  <c r="J15" i="7" s="1"/>
  <c r="Q11" i="13"/>
  <c r="K15" i="2" s="1"/>
  <c r="N15" s="1"/>
  <c r="E15" i="3" s="1"/>
  <c r="F12" i="13"/>
  <c r="D12"/>
  <c r="C13"/>
  <c r="J14" s="1"/>
  <c r="E12"/>
  <c r="C28" s="1"/>
  <c r="F28" s="1"/>
  <c r="Q28" s="1"/>
  <c r="F25"/>
  <c r="Q25" s="1"/>
  <c r="D9" i="1"/>
  <c r="R28" i="3"/>
  <c r="R20"/>
  <c r="R30"/>
  <c r="R26"/>
  <c r="R22"/>
  <c r="R18"/>
  <c r="R33"/>
  <c r="R31"/>
  <c r="R29"/>
  <c r="R27"/>
  <c r="R25"/>
  <c r="R23"/>
  <c r="R21"/>
  <c r="R19"/>
  <c r="R17"/>
  <c r="R15"/>
  <c r="A2" i="2"/>
  <c r="A2" i="7"/>
  <c r="A2" i="9"/>
  <c r="O14" i="11"/>
  <c r="O14" i="3" s="1"/>
  <c r="O14" i="2"/>
  <c r="F14" i="3" s="1"/>
  <c r="O14" i="9"/>
  <c r="L14" i="3" s="1"/>
  <c r="O14" i="7"/>
  <c r="I14" i="3" s="1"/>
  <c r="H37" i="1"/>
  <c r="H21"/>
  <c r="AB112"/>
  <c r="AA4"/>
  <c r="W4"/>
  <c r="P5"/>
  <c r="P4"/>
  <c r="D5"/>
  <c r="D4"/>
  <c r="S2"/>
  <c r="U110"/>
  <c r="U109"/>
  <c r="C96"/>
  <c r="B26"/>
  <c r="B27"/>
  <c r="B28"/>
  <c r="B29"/>
  <c r="B30"/>
  <c r="B31"/>
  <c r="B32"/>
  <c r="B33"/>
  <c r="B34"/>
  <c r="B35"/>
  <c r="B36"/>
  <c r="B25"/>
  <c r="N97"/>
  <c r="C95"/>
  <c r="B91"/>
  <c r="J90"/>
  <c r="B90"/>
  <c r="C72"/>
  <c r="C71"/>
  <c r="C70"/>
  <c r="C69"/>
  <c r="D63"/>
  <c r="D62"/>
  <c r="D61"/>
  <c r="A61"/>
  <c r="AD99"/>
  <c r="Y13"/>
  <c r="Z91" s="1"/>
  <c r="W13"/>
  <c r="U13"/>
  <c r="S13"/>
  <c r="Y11"/>
  <c r="Y58" s="1"/>
  <c r="V11"/>
  <c r="V58" s="1"/>
  <c r="T11"/>
  <c r="T58" s="1"/>
  <c r="AB9"/>
  <c r="J112" s="1"/>
  <c r="M112" s="1"/>
  <c r="AB8"/>
  <c r="J111" s="1"/>
  <c r="W8"/>
  <c r="J110" s="1"/>
  <c r="AA14"/>
  <c r="Y63" s="1"/>
  <c r="AB63" s="1"/>
  <c r="AB7"/>
  <c r="F108" s="1"/>
  <c r="AB6"/>
  <c r="F107" s="1"/>
  <c r="AD24"/>
  <c r="Z80" s="1"/>
  <c r="AD23"/>
  <c r="Z77" s="1"/>
  <c r="AD22"/>
  <c r="Z73" s="1"/>
  <c r="AD21"/>
  <c r="Z76" s="1"/>
  <c r="AD20"/>
  <c r="Z78" s="1"/>
  <c r="AD19"/>
  <c r="Z79" s="1"/>
  <c r="Z75"/>
  <c r="AD17"/>
  <c r="Z74" s="1"/>
  <c r="V25"/>
  <c r="V24"/>
  <c r="Z72" s="1"/>
  <c r="V23"/>
  <c r="Z71" s="1"/>
  <c r="V22"/>
  <c r="V21"/>
  <c r="AB36"/>
  <c r="AB35"/>
  <c r="Z89" s="1"/>
  <c r="AB34"/>
  <c r="AB33"/>
  <c r="Z87" s="1"/>
  <c r="AB32"/>
  <c r="Z86" s="1"/>
  <c r="AB31"/>
  <c r="AB30"/>
  <c r="AB29"/>
  <c r="Z83" s="1"/>
  <c r="O21"/>
  <c r="Z90" l="1"/>
  <c r="AD36"/>
  <c r="Z85"/>
  <c r="AD31"/>
  <c r="Z84"/>
  <c r="AD30"/>
  <c r="Z88"/>
  <c r="AD34"/>
  <c r="V49" i="21"/>
  <c r="Q13" i="31"/>
  <c r="H33" i="7" s="1"/>
  <c r="Q13" i="17"/>
  <c r="H19" i="7" s="1"/>
  <c r="N70" i="18"/>
  <c r="N70" i="19"/>
  <c r="N70" i="21"/>
  <c r="N70" i="22"/>
  <c r="N70" i="23"/>
  <c r="P70" s="1"/>
  <c r="V49" i="26"/>
  <c r="N70" i="20"/>
  <c r="N70" i="26"/>
  <c r="E13" i="31"/>
  <c r="C29" s="1"/>
  <c r="J76"/>
  <c r="O31"/>
  <c r="G33" i="9" s="1"/>
  <c r="V49" i="31"/>
  <c r="N70"/>
  <c r="J21"/>
  <c r="K14"/>
  <c r="C15"/>
  <c r="F14"/>
  <c r="D14"/>
  <c r="Q14"/>
  <c r="K33" i="7" s="1"/>
  <c r="N33" s="1"/>
  <c r="H33" i="3" s="1"/>
  <c r="E14" i="31"/>
  <c r="C30" s="1"/>
  <c r="P70" i="30"/>
  <c r="C15"/>
  <c r="F14"/>
  <c r="D14"/>
  <c r="Q14"/>
  <c r="K32" i="7" s="1"/>
  <c r="E14" i="30"/>
  <c r="C30" s="1"/>
  <c r="J76"/>
  <c r="O31"/>
  <c r="G32" i="9" s="1"/>
  <c r="Q13" i="30"/>
  <c r="J21"/>
  <c r="K14"/>
  <c r="E13"/>
  <c r="C29" s="1"/>
  <c r="C15" i="29"/>
  <c r="F14"/>
  <c r="D14"/>
  <c r="Q13"/>
  <c r="H31" i="7" s="1"/>
  <c r="P70" i="29"/>
  <c r="J21"/>
  <c r="K14"/>
  <c r="J76"/>
  <c r="O31"/>
  <c r="G31" i="9" s="1"/>
  <c r="C15" i="28"/>
  <c r="F14"/>
  <c r="D14"/>
  <c r="Q13"/>
  <c r="H30" i="7" s="1"/>
  <c r="J76" i="28"/>
  <c r="O31"/>
  <c r="G30" i="9" s="1"/>
  <c r="V49" i="28"/>
  <c r="N70"/>
  <c r="J21"/>
  <c r="K14"/>
  <c r="F29" i="16"/>
  <c r="Q29" s="1"/>
  <c r="E13" i="17"/>
  <c r="C29" s="1"/>
  <c r="V49" i="18"/>
  <c r="V49" i="19"/>
  <c r="V49" i="20"/>
  <c r="V49" i="22"/>
  <c r="V49" i="23"/>
  <c r="Q13" i="24"/>
  <c r="H26" i="7" s="1"/>
  <c r="N70" i="27"/>
  <c r="P70" s="1"/>
  <c r="Q13"/>
  <c r="H29" i="7" s="1"/>
  <c r="E13" i="27"/>
  <c r="C29" s="1"/>
  <c r="J21"/>
  <c r="K14"/>
  <c r="J76"/>
  <c r="O31"/>
  <c r="G29" i="9" s="1"/>
  <c r="C15" i="27"/>
  <c r="F14"/>
  <c r="D14"/>
  <c r="E14" s="1"/>
  <c r="C30" s="1"/>
  <c r="C15" i="26"/>
  <c r="F14"/>
  <c r="D14"/>
  <c r="P70"/>
  <c r="J21"/>
  <c r="K14"/>
  <c r="J76"/>
  <c r="O31"/>
  <c r="G28" i="9" s="1"/>
  <c r="Q13" i="26"/>
  <c r="H28" i="7" s="1"/>
  <c r="Q13" i="25"/>
  <c r="H27" i="7" s="1"/>
  <c r="J76" i="25"/>
  <c r="O31"/>
  <c r="G27" i="9" s="1"/>
  <c r="V49" i="25"/>
  <c r="N70"/>
  <c r="J21"/>
  <c r="K14"/>
  <c r="C15"/>
  <c r="F14"/>
  <c r="D14"/>
  <c r="E13" i="24"/>
  <c r="C29" s="1"/>
  <c r="J76"/>
  <c r="O31"/>
  <c r="G26" i="9" s="1"/>
  <c r="V49" i="24"/>
  <c r="N70"/>
  <c r="J21"/>
  <c r="K14"/>
  <c r="C15"/>
  <c r="F14"/>
  <c r="D14"/>
  <c r="E14" s="1"/>
  <c r="C30" s="1"/>
  <c r="J21" i="23"/>
  <c r="K14"/>
  <c r="J76"/>
  <c r="O31"/>
  <c r="G25" i="9" s="1"/>
  <c r="C15" i="23"/>
  <c r="F14"/>
  <c r="D14"/>
  <c r="Q13"/>
  <c r="H25" i="7" s="1"/>
  <c r="C15" i="22"/>
  <c r="F14"/>
  <c r="D14"/>
  <c r="Q13"/>
  <c r="H24" i="7" s="1"/>
  <c r="P70" i="22"/>
  <c r="J21"/>
  <c r="K14"/>
  <c r="J76"/>
  <c r="O31"/>
  <c r="G24" i="9" s="1"/>
  <c r="C15" i="21"/>
  <c r="F14"/>
  <c r="D14"/>
  <c r="Q13"/>
  <c r="H23" i="7" s="1"/>
  <c r="P70" i="21"/>
  <c r="J21"/>
  <c r="K14"/>
  <c r="J76"/>
  <c r="O31"/>
  <c r="G23" i="9" s="1"/>
  <c r="J21" i="20"/>
  <c r="K14"/>
  <c r="J76"/>
  <c r="O31"/>
  <c r="G22" i="9" s="1"/>
  <c r="P70" i="20"/>
  <c r="C15"/>
  <c r="F14"/>
  <c r="D14"/>
  <c r="Q13"/>
  <c r="H22" i="7" s="1"/>
  <c r="C15" i="19"/>
  <c r="F14"/>
  <c r="D14"/>
  <c r="P70"/>
  <c r="J21"/>
  <c r="K14"/>
  <c r="J76"/>
  <c r="O31"/>
  <c r="G21" i="9" s="1"/>
  <c r="Q13" i="19"/>
  <c r="C15" i="18"/>
  <c r="F14"/>
  <c r="D14"/>
  <c r="Q13"/>
  <c r="H20" i="7" s="1"/>
  <c r="P70" i="18"/>
  <c r="J21"/>
  <c r="K14"/>
  <c r="J76"/>
  <c r="O31"/>
  <c r="G20" i="9" s="1"/>
  <c r="J76" i="17"/>
  <c r="O31"/>
  <c r="G19" i="9" s="1"/>
  <c r="V49" i="17"/>
  <c r="N70"/>
  <c r="J21"/>
  <c r="K14"/>
  <c r="C15"/>
  <c r="F14"/>
  <c r="D14"/>
  <c r="C15" i="16"/>
  <c r="F14"/>
  <c r="D14"/>
  <c r="E14" s="1"/>
  <c r="Q13"/>
  <c r="H18" i="7" s="1"/>
  <c r="J76" i="16"/>
  <c r="O31"/>
  <c r="G18" i="9" s="1"/>
  <c r="V49" i="16"/>
  <c r="N70"/>
  <c r="J21"/>
  <c r="K14"/>
  <c r="D30" s="1"/>
  <c r="C29" i="15"/>
  <c r="F29" s="1"/>
  <c r="Q29" s="1"/>
  <c r="C15"/>
  <c r="F14"/>
  <c r="D14"/>
  <c r="J76"/>
  <c r="O31"/>
  <c r="G17" i="9" s="1"/>
  <c r="Q13" i="15"/>
  <c r="H17" i="7" s="1"/>
  <c r="N70" i="15"/>
  <c r="V49"/>
  <c r="J21"/>
  <c r="K14"/>
  <c r="D30" s="1"/>
  <c r="J76" i="14"/>
  <c r="O31"/>
  <c r="G16" i="9" s="1"/>
  <c r="N70" i="14"/>
  <c r="C15"/>
  <c r="F14"/>
  <c r="D14"/>
  <c r="E14" s="1"/>
  <c r="C30" s="1"/>
  <c r="V49"/>
  <c r="J21"/>
  <c r="K14"/>
  <c r="E13"/>
  <c r="C29" s="1"/>
  <c r="F29" s="1"/>
  <c r="Q29" s="1"/>
  <c r="F13" i="13"/>
  <c r="D13"/>
  <c r="C14"/>
  <c r="E13"/>
  <c r="C29" s="1"/>
  <c r="F29" s="1"/>
  <c r="Q29" s="1"/>
  <c r="I76"/>
  <c r="O30"/>
  <c r="M15" i="7" s="1"/>
  <c r="P15" s="1"/>
  <c r="J15" i="3" s="1"/>
  <c r="J69" i="13"/>
  <c r="Q12"/>
  <c r="E15" i="7" s="1"/>
  <c r="K9" i="1"/>
  <c r="D25" s="1"/>
  <c r="E9"/>
  <c r="C25" s="1"/>
  <c r="R14" i="3"/>
  <c r="M111" i="1"/>
  <c r="H107"/>
  <c r="AB84"/>
  <c r="AB85"/>
  <c r="AD32"/>
  <c r="AB86" s="1"/>
  <c r="AD33"/>
  <c r="AB87" s="1"/>
  <c r="AB88"/>
  <c r="AD35"/>
  <c r="AB89" s="1"/>
  <c r="AB90"/>
  <c r="AD37"/>
  <c r="AB91" s="1"/>
  <c r="AD29"/>
  <c r="AB83" s="1"/>
  <c r="AB13"/>
  <c r="AB59" s="1"/>
  <c r="Q14" i="25" l="1"/>
  <c r="K27" i="7" s="1"/>
  <c r="Q14" i="26"/>
  <c r="K28" i="7" s="1"/>
  <c r="N28" s="1"/>
  <c r="H28" i="3" s="1"/>
  <c r="Q14" i="29"/>
  <c r="K31" i="7" s="1"/>
  <c r="N70" i="13"/>
  <c r="Q14" i="17"/>
  <c r="K19" i="7" s="1"/>
  <c r="N19" s="1"/>
  <c r="H19" i="3" s="1"/>
  <c r="Q14" i="21"/>
  <c r="K23" i="7" s="1"/>
  <c r="E14" i="25"/>
  <c r="C30" s="1"/>
  <c r="Q14" i="28"/>
  <c r="N31" i="7"/>
  <c r="H31" i="3" s="1"/>
  <c r="K21" i="28"/>
  <c r="D30"/>
  <c r="J70"/>
  <c r="K30" i="7"/>
  <c r="N30" s="1"/>
  <c r="H30" i="3" s="1"/>
  <c r="K21" i="30"/>
  <c r="D30"/>
  <c r="J70"/>
  <c r="H32" i="7"/>
  <c r="N32" s="1"/>
  <c r="H32" i="3" s="1"/>
  <c r="K21" i="31"/>
  <c r="D30"/>
  <c r="D37" s="1"/>
  <c r="K21" i="29"/>
  <c r="D30"/>
  <c r="F29" i="30"/>
  <c r="Q29" s="1"/>
  <c r="F29" i="31"/>
  <c r="Q29" s="1"/>
  <c r="Q13" i="13"/>
  <c r="H15" i="7" s="1"/>
  <c r="E14" i="17"/>
  <c r="C30" s="1"/>
  <c r="Q14" i="18"/>
  <c r="K20" i="7" s="1"/>
  <c r="N20" s="1"/>
  <c r="H20" i="3" s="1"/>
  <c r="N23" i="7"/>
  <c r="H23" i="3" s="1"/>
  <c r="Q14" i="22"/>
  <c r="K24" i="7" s="1"/>
  <c r="N24" s="1"/>
  <c r="H24" i="3" s="1"/>
  <c r="Q14" i="23"/>
  <c r="K25" i="7" s="1"/>
  <c r="N25" s="1"/>
  <c r="H25" i="3" s="1"/>
  <c r="N27" i="7"/>
  <c r="H27" i="3" s="1"/>
  <c r="E14" i="28"/>
  <c r="C30" s="1"/>
  <c r="F30" s="1"/>
  <c r="Q30" s="1"/>
  <c r="E14" i="29"/>
  <c r="C30" s="1"/>
  <c r="C16" i="31"/>
  <c r="F15"/>
  <c r="D15"/>
  <c r="E15" s="1"/>
  <c r="C31" s="1"/>
  <c r="F31" s="1"/>
  <c r="P70"/>
  <c r="L76"/>
  <c r="O32"/>
  <c r="J33" i="9" s="1"/>
  <c r="Q31" i="31"/>
  <c r="J70"/>
  <c r="F30"/>
  <c r="Q30" s="1"/>
  <c r="F30" i="30"/>
  <c r="Q30" s="1"/>
  <c r="D37"/>
  <c r="L76"/>
  <c r="O32"/>
  <c r="J32" i="9" s="1"/>
  <c r="C16" i="30"/>
  <c r="F15"/>
  <c r="D15"/>
  <c r="E15" s="1"/>
  <c r="C31" s="1"/>
  <c r="F31" s="1"/>
  <c r="Q31" s="1"/>
  <c r="J70" i="29"/>
  <c r="L76"/>
  <c r="O32"/>
  <c r="J31" i="9" s="1"/>
  <c r="F30" i="29"/>
  <c r="Q30" s="1"/>
  <c r="D37"/>
  <c r="C16"/>
  <c r="F15"/>
  <c r="D15"/>
  <c r="E15" s="1"/>
  <c r="C31" s="1"/>
  <c r="F31" s="1"/>
  <c r="Q31" s="1"/>
  <c r="D37" i="28"/>
  <c r="P70"/>
  <c r="L76"/>
  <c r="O32"/>
  <c r="J30" i="9" s="1"/>
  <c r="C16" i="28"/>
  <c r="F15"/>
  <c r="D15"/>
  <c r="E15" s="1"/>
  <c r="C31" s="1"/>
  <c r="F31" s="1"/>
  <c r="Q31" s="1"/>
  <c r="K21" i="17"/>
  <c r="D30"/>
  <c r="K21" i="18"/>
  <c r="D30"/>
  <c r="H21" i="7"/>
  <c r="K21" i="20"/>
  <c r="D30"/>
  <c r="K21" i="21"/>
  <c r="D30"/>
  <c r="K21" i="22"/>
  <c r="D30"/>
  <c r="D37" s="1"/>
  <c r="K21" i="27"/>
  <c r="D30"/>
  <c r="D37" s="1"/>
  <c r="V49" i="13"/>
  <c r="Q14" i="16"/>
  <c r="K18" i="7" s="1"/>
  <c r="N18" s="1"/>
  <c r="H18" i="3" s="1"/>
  <c r="E14" i="18"/>
  <c r="C30" s="1"/>
  <c r="Q14" i="19"/>
  <c r="K21" i="7" s="1"/>
  <c r="Q14" i="20"/>
  <c r="K22" i="7" s="1"/>
  <c r="N22" s="1"/>
  <c r="H22" i="3" s="1"/>
  <c r="E14" i="21"/>
  <c r="C30" s="1"/>
  <c r="E14" i="22"/>
  <c r="C30" s="1"/>
  <c r="Q14" i="24"/>
  <c r="E14" i="26"/>
  <c r="C30" s="1"/>
  <c r="K21" i="19"/>
  <c r="D30"/>
  <c r="K21" i="23"/>
  <c r="D30"/>
  <c r="D37" s="1"/>
  <c r="K21" i="24"/>
  <c r="D30"/>
  <c r="D37" s="1"/>
  <c r="F29"/>
  <c r="Q29" s="1"/>
  <c r="K21" i="25"/>
  <c r="D30"/>
  <c r="K21" i="26"/>
  <c r="D30"/>
  <c r="F29" i="27"/>
  <c r="Q29" s="1"/>
  <c r="F29" i="17"/>
  <c r="Q29" s="1"/>
  <c r="C16" i="27"/>
  <c r="F15"/>
  <c r="D15"/>
  <c r="E15" s="1"/>
  <c r="C31" s="1"/>
  <c r="F31" s="1"/>
  <c r="Q31" s="1"/>
  <c r="L76"/>
  <c r="O32"/>
  <c r="J29" i="9" s="1"/>
  <c r="F30" i="27"/>
  <c r="Q30" s="1"/>
  <c r="Q14"/>
  <c r="K29" i="7" s="1"/>
  <c r="N29" s="1"/>
  <c r="H29" i="3" s="1"/>
  <c r="J70" i="26"/>
  <c r="L76"/>
  <c r="O32"/>
  <c r="J28" i="9" s="1"/>
  <c r="D37" i="26"/>
  <c r="C16"/>
  <c r="F15"/>
  <c r="D15"/>
  <c r="E15" s="1"/>
  <c r="C31" s="1"/>
  <c r="F31" s="1"/>
  <c r="Q31" s="1"/>
  <c r="C16" i="25"/>
  <c r="F15"/>
  <c r="D15"/>
  <c r="E15" s="1"/>
  <c r="C31" s="1"/>
  <c r="F31" s="1"/>
  <c r="P70"/>
  <c r="L76"/>
  <c r="O32"/>
  <c r="J27" i="9" s="1"/>
  <c r="Q31" i="25"/>
  <c r="J70"/>
  <c r="F30"/>
  <c r="Q30" s="1"/>
  <c r="D37"/>
  <c r="C16" i="24"/>
  <c r="F15"/>
  <c r="D15"/>
  <c r="E15" s="1"/>
  <c r="C31" s="1"/>
  <c r="F31" s="1"/>
  <c r="P70"/>
  <c r="L76"/>
  <c r="O32"/>
  <c r="J26" i="9" s="1"/>
  <c r="Q31" i="24"/>
  <c r="E14" i="23"/>
  <c r="C30" s="1"/>
  <c r="F30" s="1"/>
  <c r="Q30" s="1"/>
  <c r="J70"/>
  <c r="C16"/>
  <c r="F15"/>
  <c r="D15"/>
  <c r="E15" s="1"/>
  <c r="C31" s="1"/>
  <c r="F31" s="1"/>
  <c r="Q31" s="1"/>
  <c r="L76"/>
  <c r="O32"/>
  <c r="J25" i="9" s="1"/>
  <c r="J70" i="22"/>
  <c r="L76"/>
  <c r="O32"/>
  <c r="J24" i="9" s="1"/>
  <c r="F30" i="22"/>
  <c r="Q30" s="1"/>
  <c r="C16"/>
  <c r="F15"/>
  <c r="D15"/>
  <c r="E15" s="1"/>
  <c r="C31" s="1"/>
  <c r="F31" s="1"/>
  <c r="Q31" s="1"/>
  <c r="J70" i="21"/>
  <c r="L76"/>
  <c r="O32"/>
  <c r="J23" i="9" s="1"/>
  <c r="F30" i="21"/>
  <c r="Q30" s="1"/>
  <c r="D37"/>
  <c r="C16"/>
  <c r="F15"/>
  <c r="D15"/>
  <c r="E15" s="1"/>
  <c r="C31" s="1"/>
  <c r="F31" s="1"/>
  <c r="Q31" s="1"/>
  <c r="E14" i="20"/>
  <c r="C30" s="1"/>
  <c r="F30" s="1"/>
  <c r="Q30" s="1"/>
  <c r="J70"/>
  <c r="C16"/>
  <c r="F15"/>
  <c r="D15"/>
  <c r="E15" s="1"/>
  <c r="C31" s="1"/>
  <c r="F31" s="1"/>
  <c r="Q31" s="1"/>
  <c r="L76"/>
  <c r="O32"/>
  <c r="J22" i="9" s="1"/>
  <c r="D37" i="20"/>
  <c r="E14" i="19"/>
  <c r="C30" s="1"/>
  <c r="F30" s="1"/>
  <c r="Q30" s="1"/>
  <c r="L76"/>
  <c r="O32"/>
  <c r="J21" i="9" s="1"/>
  <c r="D37" i="19"/>
  <c r="C16"/>
  <c r="F15"/>
  <c r="D15"/>
  <c r="E15" s="1"/>
  <c r="C31" s="1"/>
  <c r="F31" s="1"/>
  <c r="Q31" s="1"/>
  <c r="J70" i="18"/>
  <c r="L76"/>
  <c r="O32"/>
  <c r="J20" i="9" s="1"/>
  <c r="F30" i="18"/>
  <c r="Q30" s="1"/>
  <c r="D37"/>
  <c r="C16"/>
  <c r="F15"/>
  <c r="D15"/>
  <c r="E15" s="1"/>
  <c r="C31" s="1"/>
  <c r="F31" s="1"/>
  <c r="Q31" s="1"/>
  <c r="C16" i="17"/>
  <c r="F15"/>
  <c r="D15"/>
  <c r="E15" s="1"/>
  <c r="C31" s="1"/>
  <c r="F31" s="1"/>
  <c r="Q31" s="1"/>
  <c r="P70"/>
  <c r="L76"/>
  <c r="O32"/>
  <c r="J19" i="9" s="1"/>
  <c r="J70" i="17"/>
  <c r="F30"/>
  <c r="Q30" s="1"/>
  <c r="D37"/>
  <c r="D37" i="16"/>
  <c r="K21"/>
  <c r="P70"/>
  <c r="L76"/>
  <c r="O32"/>
  <c r="J18" i="9" s="1"/>
  <c r="C16" i="16"/>
  <c r="F15"/>
  <c r="D15"/>
  <c r="E15" s="1"/>
  <c r="J70"/>
  <c r="Q14" i="15"/>
  <c r="K17" i="7" s="1"/>
  <c r="N17" s="1"/>
  <c r="H17" i="3" s="1"/>
  <c r="K21" i="14"/>
  <c r="D30"/>
  <c r="D37" s="1"/>
  <c r="E14" i="15"/>
  <c r="C30" s="1"/>
  <c r="F30" s="1"/>
  <c r="Q30" s="1"/>
  <c r="D37"/>
  <c r="K21"/>
  <c r="P70"/>
  <c r="C16"/>
  <c r="F15"/>
  <c r="D15"/>
  <c r="E15" s="1"/>
  <c r="C31" s="1"/>
  <c r="L76"/>
  <c r="O32"/>
  <c r="J17" i="9" s="1"/>
  <c r="C16" i="14"/>
  <c r="F15"/>
  <c r="D15"/>
  <c r="L76"/>
  <c r="O32"/>
  <c r="J16" i="9" s="1"/>
  <c r="Q14" i="14"/>
  <c r="K16" i="7" s="1"/>
  <c r="N16" s="1"/>
  <c r="H16" i="3" s="1"/>
  <c r="F30" i="14"/>
  <c r="Q30" s="1"/>
  <c r="P70"/>
  <c r="P70" i="13"/>
  <c r="J76"/>
  <c r="O31"/>
  <c r="G15" i="9" s="1"/>
  <c r="J21" i="13"/>
  <c r="K14"/>
  <c r="C15"/>
  <c r="F14"/>
  <c r="D14"/>
  <c r="E14" s="1"/>
  <c r="C30" s="1"/>
  <c r="AD38" i="1"/>
  <c r="AD92" s="1"/>
  <c r="AB11"/>
  <c r="AB58" s="1"/>
  <c r="F30" i="26" l="1"/>
  <c r="Q30" s="1"/>
  <c r="F30" i="24"/>
  <c r="Q30" s="1"/>
  <c r="Q15" i="14"/>
  <c r="E16" i="9" s="1"/>
  <c r="M76" i="31"/>
  <c r="O33"/>
  <c r="M33" i="9" s="1"/>
  <c r="P33" s="1"/>
  <c r="M33" i="3" s="1"/>
  <c r="Q15" i="31"/>
  <c r="E33" i="9" s="1"/>
  <c r="F16" i="31"/>
  <c r="D16"/>
  <c r="C17"/>
  <c r="E16"/>
  <c r="C32" s="1"/>
  <c r="F32" s="1"/>
  <c r="Q32" s="1"/>
  <c r="N71"/>
  <c r="F16" i="30"/>
  <c r="D16"/>
  <c r="C17"/>
  <c r="E16"/>
  <c r="C32" s="1"/>
  <c r="F32" s="1"/>
  <c r="Q32" s="1"/>
  <c r="M76"/>
  <c r="O33"/>
  <c r="M32" i="9" s="1"/>
  <c r="P32" s="1"/>
  <c r="M32" i="3" s="1"/>
  <c r="Q15" i="30"/>
  <c r="E32" i="9" s="1"/>
  <c r="F16" i="29"/>
  <c r="D16"/>
  <c r="C17"/>
  <c r="E16"/>
  <c r="C32" s="1"/>
  <c r="F32" s="1"/>
  <c r="Q32" s="1"/>
  <c r="M76"/>
  <c r="O33"/>
  <c r="M31" i="9" s="1"/>
  <c r="P31" s="1"/>
  <c r="M31" i="3" s="1"/>
  <c r="Q15" i="29"/>
  <c r="E31" i="9" s="1"/>
  <c r="N71" i="29"/>
  <c r="F16" i="28"/>
  <c r="D16"/>
  <c r="C17"/>
  <c r="E16"/>
  <c r="C32" s="1"/>
  <c r="F32" s="1"/>
  <c r="Q32" s="1"/>
  <c r="M76"/>
  <c r="O33"/>
  <c r="M30" i="9" s="1"/>
  <c r="P30" s="1"/>
  <c r="M30" i="3" s="1"/>
  <c r="Q15" i="28"/>
  <c r="E30" i="9" s="1"/>
  <c r="J70" i="24"/>
  <c r="K26" i="7"/>
  <c r="N26" s="1"/>
  <c r="H26" i="3" s="1"/>
  <c r="J70" i="19"/>
  <c r="K21" i="13"/>
  <c r="D30"/>
  <c r="J70" i="15"/>
  <c r="N21" i="7"/>
  <c r="H21" i="3" s="1"/>
  <c r="M76" i="27"/>
  <c r="O33"/>
  <c r="M29" i="9" s="1"/>
  <c r="P29" s="1"/>
  <c r="M29" i="3" s="1"/>
  <c r="F16" i="27"/>
  <c r="D16"/>
  <c r="C17"/>
  <c r="E16"/>
  <c r="C32" s="1"/>
  <c r="F32" s="1"/>
  <c r="Q32" s="1"/>
  <c r="J70"/>
  <c r="N71"/>
  <c r="Q15"/>
  <c r="E29" i="9" s="1"/>
  <c r="F16" i="26"/>
  <c r="D16"/>
  <c r="C17"/>
  <c r="E16"/>
  <c r="C32" s="1"/>
  <c r="F32" s="1"/>
  <c r="Q32" s="1"/>
  <c r="M76"/>
  <c r="O33"/>
  <c r="M28" i="9" s="1"/>
  <c r="P28" s="1"/>
  <c r="M28" i="3" s="1"/>
  <c r="Q15" i="26"/>
  <c r="E28" i="9" s="1"/>
  <c r="M76" i="25"/>
  <c r="O33"/>
  <c r="M27" i="9" s="1"/>
  <c r="P27" s="1"/>
  <c r="M27" i="3" s="1"/>
  <c r="Q15" i="25"/>
  <c r="E27" i="9" s="1"/>
  <c r="F16" i="25"/>
  <c r="D16"/>
  <c r="C17"/>
  <c r="E16"/>
  <c r="C32" s="1"/>
  <c r="F32" s="1"/>
  <c r="Q32" s="1"/>
  <c r="M76" i="24"/>
  <c r="O33"/>
  <c r="M26" i="9" s="1"/>
  <c r="P26" s="1"/>
  <c r="M26" i="3" s="1"/>
  <c r="Q15" i="24"/>
  <c r="E26" i="9" s="1"/>
  <c r="F16" i="24"/>
  <c r="D16"/>
  <c r="C17"/>
  <c r="E16"/>
  <c r="C32" s="1"/>
  <c r="F32" s="1"/>
  <c r="Q32" s="1"/>
  <c r="M76" i="23"/>
  <c r="O33"/>
  <c r="M25" i="9" s="1"/>
  <c r="P25" s="1"/>
  <c r="M25" i="3" s="1"/>
  <c r="Q15" i="23"/>
  <c r="E25" i="9" s="1"/>
  <c r="F16" i="23"/>
  <c r="D16"/>
  <c r="C17"/>
  <c r="E16"/>
  <c r="C32" s="1"/>
  <c r="F32" s="1"/>
  <c r="Q32" s="1"/>
  <c r="N71"/>
  <c r="F16" i="22"/>
  <c r="D16"/>
  <c r="C17"/>
  <c r="E16"/>
  <c r="C32" s="1"/>
  <c r="F32" s="1"/>
  <c r="Q32" s="1"/>
  <c r="M76"/>
  <c r="O33"/>
  <c r="M24" i="9" s="1"/>
  <c r="P24" s="1"/>
  <c r="M24" i="3" s="1"/>
  <c r="Q15" i="22"/>
  <c r="E24" i="9" s="1"/>
  <c r="N71" i="22"/>
  <c r="F16" i="21"/>
  <c r="D16"/>
  <c r="C17"/>
  <c r="E16"/>
  <c r="C32" s="1"/>
  <c r="F32" s="1"/>
  <c r="Q32" s="1"/>
  <c r="M76"/>
  <c r="O33"/>
  <c r="M23" i="9" s="1"/>
  <c r="P23" s="1"/>
  <c r="M23" i="3" s="1"/>
  <c r="Q15" i="21"/>
  <c r="E23" i="9" s="1"/>
  <c r="M76" i="20"/>
  <c r="O33"/>
  <c r="M22" i="9" s="1"/>
  <c r="P22" s="1"/>
  <c r="M22" i="3" s="1"/>
  <c r="Q15" i="20"/>
  <c r="E22" i="9" s="1"/>
  <c r="F16" i="20"/>
  <c r="D16"/>
  <c r="C17"/>
  <c r="E16"/>
  <c r="C32" s="1"/>
  <c r="F32" s="1"/>
  <c r="Q32" s="1"/>
  <c r="F16" i="19"/>
  <c r="D16"/>
  <c r="Q16" s="1"/>
  <c r="H21" i="9" s="1"/>
  <c r="C17" i="19"/>
  <c r="E16"/>
  <c r="C32" s="1"/>
  <c r="F32" s="1"/>
  <c r="Q32" s="1"/>
  <c r="M76"/>
  <c r="O33"/>
  <c r="M21" i="9" s="1"/>
  <c r="P21" s="1"/>
  <c r="M21" i="3" s="1"/>
  <c r="Q15" i="19"/>
  <c r="E21" i="9" s="1"/>
  <c r="F16" i="18"/>
  <c r="D16"/>
  <c r="C17"/>
  <c r="E16"/>
  <c r="C32" s="1"/>
  <c r="F32" s="1"/>
  <c r="Q32" s="1"/>
  <c r="M76"/>
  <c r="O33"/>
  <c r="M20" i="9" s="1"/>
  <c r="P20" s="1"/>
  <c r="M20" i="3" s="1"/>
  <c r="Q15" i="18"/>
  <c r="E20" i="9" s="1"/>
  <c r="N71" i="18"/>
  <c r="M76" i="17"/>
  <c r="O33"/>
  <c r="M19" i="9" s="1"/>
  <c r="P19" s="1"/>
  <c r="M19" i="3" s="1"/>
  <c r="Q15" i="17"/>
  <c r="E19" i="9" s="1"/>
  <c r="F16" i="17"/>
  <c r="D16"/>
  <c r="C17"/>
  <c r="E16"/>
  <c r="C32" s="1"/>
  <c r="F32" s="1"/>
  <c r="Q32" s="1"/>
  <c r="F31" i="16"/>
  <c r="Q31" s="1"/>
  <c r="F30"/>
  <c r="Q30" s="1"/>
  <c r="Q15"/>
  <c r="E18" i="9" s="1"/>
  <c r="F16" i="16"/>
  <c r="D16"/>
  <c r="C17"/>
  <c r="M76"/>
  <c r="O33"/>
  <c r="M18" i="9" s="1"/>
  <c r="P18" s="1"/>
  <c r="M18" i="3" s="1"/>
  <c r="F16" i="15"/>
  <c r="D16"/>
  <c r="C17"/>
  <c r="E16"/>
  <c r="M76"/>
  <c r="O33"/>
  <c r="M17" i="9" s="1"/>
  <c r="P17" s="1"/>
  <c r="M17" i="3" s="1"/>
  <c r="Q15" i="15"/>
  <c r="E17" i="9" s="1"/>
  <c r="E15" i="14"/>
  <c r="C31" s="1"/>
  <c r="F31" s="1"/>
  <c r="Q31" s="1"/>
  <c r="J70"/>
  <c r="M76"/>
  <c r="O33"/>
  <c r="M16" i="9" s="1"/>
  <c r="P16" s="1"/>
  <c r="M16" i="3" s="1"/>
  <c r="D16" i="14"/>
  <c r="C17"/>
  <c r="E16"/>
  <c r="C32" s="1"/>
  <c r="F32" s="1"/>
  <c r="Q32" s="1"/>
  <c r="F16"/>
  <c r="C16" i="13"/>
  <c r="F15"/>
  <c r="D15"/>
  <c r="E15" s="1"/>
  <c r="C31" s="1"/>
  <c r="F31" s="1"/>
  <c r="Q31" s="1"/>
  <c r="F30"/>
  <c r="Q30" s="1"/>
  <c r="D37"/>
  <c r="L76"/>
  <c r="O32"/>
  <c r="J15" i="9" s="1"/>
  <c r="Q14" i="13"/>
  <c r="K15" i="7" s="1"/>
  <c r="N15" s="1"/>
  <c r="H15" i="3" s="1"/>
  <c r="S4" i="1"/>
  <c r="W3"/>
  <c r="S3"/>
  <c r="AB55" s="1"/>
  <c r="Q16" i="14" l="1"/>
  <c r="H16" i="9" s="1"/>
  <c r="Q16" i="31"/>
  <c r="H33" i="9" s="1"/>
  <c r="N71" i="14"/>
  <c r="Q16" i="15"/>
  <c r="H17" i="9" s="1"/>
  <c r="Q16" i="17"/>
  <c r="H19" i="9" s="1"/>
  <c r="N71" i="21"/>
  <c r="Q16" i="25"/>
  <c r="H27" i="9" s="1"/>
  <c r="N71" i="28"/>
  <c r="Q16" i="30"/>
  <c r="H32" i="9" s="1"/>
  <c r="Q16" i="28"/>
  <c r="H30" i="9" s="1"/>
  <c r="P71" i="31"/>
  <c r="F17"/>
  <c r="D17"/>
  <c r="C18"/>
  <c r="E17"/>
  <c r="C33" s="1"/>
  <c r="F33" s="1"/>
  <c r="Q33" s="1"/>
  <c r="N76"/>
  <c r="O34"/>
  <c r="G33" i="11" s="1"/>
  <c r="Y49" i="31"/>
  <c r="F17" i="30"/>
  <c r="D17"/>
  <c r="C18"/>
  <c r="E17"/>
  <c r="C33" s="1"/>
  <c r="F33" s="1"/>
  <c r="Q33" s="1"/>
  <c r="N76"/>
  <c r="O34"/>
  <c r="G32" i="11" s="1"/>
  <c r="Y49" i="30"/>
  <c r="N71"/>
  <c r="Q16" i="29"/>
  <c r="H31" i="9" s="1"/>
  <c r="P71" i="29"/>
  <c r="N76"/>
  <c r="O34"/>
  <c r="G31" i="11" s="1"/>
  <c r="Y49" i="29"/>
  <c r="F17"/>
  <c r="D17"/>
  <c r="C18"/>
  <c r="E17"/>
  <c r="C33" s="1"/>
  <c r="F33" s="1"/>
  <c r="Q33" s="1"/>
  <c r="P71" i="28"/>
  <c r="N76"/>
  <c r="O34"/>
  <c r="G30" i="11" s="1"/>
  <c r="Y49" i="28"/>
  <c r="F17"/>
  <c r="D17"/>
  <c r="Q17" s="1"/>
  <c r="K30" i="9" s="1"/>
  <c r="N30" s="1"/>
  <c r="K30" i="3" s="1"/>
  <c r="C18" i="28"/>
  <c r="E17"/>
  <c r="C33" s="1"/>
  <c r="F33" s="1"/>
  <c r="Q33" s="1"/>
  <c r="Q16" i="16"/>
  <c r="H18" i="9" s="1"/>
  <c r="N71" i="19"/>
  <c r="Q16" i="21"/>
  <c r="H23" i="9" s="1"/>
  <c r="Q16" i="23"/>
  <c r="H25" i="9" s="1"/>
  <c r="N71" i="25"/>
  <c r="Q16" i="27"/>
  <c r="H29" i="9" s="1"/>
  <c r="F17" i="27"/>
  <c r="D17"/>
  <c r="Q17" s="1"/>
  <c r="C18"/>
  <c r="E17"/>
  <c r="C33" s="1"/>
  <c r="F33" s="1"/>
  <c r="P71"/>
  <c r="N76"/>
  <c r="O34"/>
  <c r="G29" i="11" s="1"/>
  <c r="Q33" i="27"/>
  <c r="Y49"/>
  <c r="Q16" i="26"/>
  <c r="H28" i="9" s="1"/>
  <c r="N76" i="26"/>
  <c r="O34"/>
  <c r="G28" i="11" s="1"/>
  <c r="Y49" i="26"/>
  <c r="N71"/>
  <c r="F17"/>
  <c r="D17"/>
  <c r="C18"/>
  <c r="E17"/>
  <c r="C33" s="1"/>
  <c r="F33" s="1"/>
  <c r="Q33" s="1"/>
  <c r="P71" i="25"/>
  <c r="F17"/>
  <c r="D17"/>
  <c r="C18"/>
  <c r="E17"/>
  <c r="C33" s="1"/>
  <c r="F33" s="1"/>
  <c r="Q33" s="1"/>
  <c r="N76"/>
  <c r="O34"/>
  <c r="G27" i="11" s="1"/>
  <c r="Y49" i="25"/>
  <c r="Q16" i="24"/>
  <c r="H26" i="9" s="1"/>
  <c r="F17" i="24"/>
  <c r="D17"/>
  <c r="C18"/>
  <c r="E17"/>
  <c r="C33" s="1"/>
  <c r="F33" s="1"/>
  <c r="Q33" s="1"/>
  <c r="N76"/>
  <c r="O34"/>
  <c r="G26" i="11" s="1"/>
  <c r="N71" i="24"/>
  <c r="Y49"/>
  <c r="P71" i="23"/>
  <c r="F17"/>
  <c r="D17"/>
  <c r="C18"/>
  <c r="E17"/>
  <c r="C33" s="1"/>
  <c r="F33" s="1"/>
  <c r="Q33" s="1"/>
  <c r="N76"/>
  <c r="O34"/>
  <c r="G25" i="11" s="1"/>
  <c r="Y49" i="23"/>
  <c r="Q16" i="22"/>
  <c r="H24" i="9" s="1"/>
  <c r="P71" i="22"/>
  <c r="N76"/>
  <c r="O34"/>
  <c r="G24" i="11" s="1"/>
  <c r="Y49" i="22"/>
  <c r="F17"/>
  <c r="D17"/>
  <c r="C18"/>
  <c r="E17"/>
  <c r="C33" s="1"/>
  <c r="F33" s="1"/>
  <c r="Q33" s="1"/>
  <c r="P71" i="21"/>
  <c r="N76"/>
  <c r="O34"/>
  <c r="G23" i="11" s="1"/>
  <c r="Y49" i="21"/>
  <c r="F17"/>
  <c r="D17"/>
  <c r="C18"/>
  <c r="E17"/>
  <c r="C33" s="1"/>
  <c r="F33" s="1"/>
  <c r="Q33" s="1"/>
  <c r="Q16" i="20"/>
  <c r="H22" i="9" s="1"/>
  <c r="F17" i="20"/>
  <c r="D17"/>
  <c r="C18"/>
  <c r="E17"/>
  <c r="C33" s="1"/>
  <c r="F33" s="1"/>
  <c r="Q33" s="1"/>
  <c r="N76"/>
  <c r="O34"/>
  <c r="G22" i="11" s="1"/>
  <c r="N71" i="20"/>
  <c r="Y49"/>
  <c r="P71" i="19"/>
  <c r="N76"/>
  <c r="O34"/>
  <c r="G21" i="11" s="1"/>
  <c r="Y49" i="19"/>
  <c r="F17"/>
  <c r="D17"/>
  <c r="C18"/>
  <c r="E17"/>
  <c r="C33" s="1"/>
  <c r="F33" s="1"/>
  <c r="Q33" s="1"/>
  <c r="Q16" i="18"/>
  <c r="H20" i="9" s="1"/>
  <c r="P71" i="18"/>
  <c r="N76"/>
  <c r="O34"/>
  <c r="G20" i="11" s="1"/>
  <c r="Y49" i="18"/>
  <c r="F17"/>
  <c r="D17"/>
  <c r="C18"/>
  <c r="E17"/>
  <c r="C33" s="1"/>
  <c r="F33" s="1"/>
  <c r="Q33" s="1"/>
  <c r="F17" i="17"/>
  <c r="D17"/>
  <c r="E17" s="1"/>
  <c r="C33" s="1"/>
  <c r="F33" s="1"/>
  <c r="Q33" s="1"/>
  <c r="C18"/>
  <c r="N76"/>
  <c r="O34"/>
  <c r="G19" i="11" s="1"/>
  <c r="N71" i="17"/>
  <c r="Y49"/>
  <c r="E16" i="16"/>
  <c r="N76"/>
  <c r="O34"/>
  <c r="G18" i="11" s="1"/>
  <c r="Y49" i="16"/>
  <c r="N71"/>
  <c r="F17"/>
  <c r="D17"/>
  <c r="C18"/>
  <c r="C32" i="15"/>
  <c r="F32" s="1"/>
  <c r="Q32" s="1"/>
  <c r="N76"/>
  <c r="O34"/>
  <c r="G17" i="11" s="1"/>
  <c r="Y49" i="15"/>
  <c r="F17"/>
  <c r="D17"/>
  <c r="E17" s="1"/>
  <c r="C18"/>
  <c r="N71"/>
  <c r="F31"/>
  <c r="Q31" s="1"/>
  <c r="D17" i="14"/>
  <c r="E17" s="1"/>
  <c r="C33" s="1"/>
  <c r="F33" s="1"/>
  <c r="Q33" s="1"/>
  <c r="C18"/>
  <c r="F17"/>
  <c r="P71"/>
  <c r="N76"/>
  <c r="O34"/>
  <c r="G16" i="11" s="1"/>
  <c r="Y49" i="14"/>
  <c r="J70" i="13"/>
  <c r="F16"/>
  <c r="D16"/>
  <c r="E16" s="1"/>
  <c r="C32" s="1"/>
  <c r="F32" s="1"/>
  <c r="Q32" s="1"/>
  <c r="C17"/>
  <c r="M76"/>
  <c r="O33"/>
  <c r="M15" i="9" s="1"/>
  <c r="P15" s="1"/>
  <c r="M15" i="3" s="1"/>
  <c r="N71" i="13"/>
  <c r="Q15"/>
  <c r="E15" i="9" s="1"/>
  <c r="O63" i="1"/>
  <c r="O62"/>
  <c r="J61"/>
  <c r="P3"/>
  <c r="J65" s="1"/>
  <c r="D3"/>
  <c r="Q17" i="16" l="1"/>
  <c r="K18" i="9" s="1"/>
  <c r="N18" s="1"/>
  <c r="K18" i="3" s="1"/>
  <c r="Q17" i="19"/>
  <c r="Q17" i="21"/>
  <c r="K23" i="9" s="1"/>
  <c r="Q17" i="25"/>
  <c r="N23" i="9"/>
  <c r="K23" i="3" s="1"/>
  <c r="Q17" i="31"/>
  <c r="O76"/>
  <c r="O35"/>
  <c r="J33" i="11" s="1"/>
  <c r="F18" i="31"/>
  <c r="D18"/>
  <c r="C19"/>
  <c r="E18"/>
  <c r="C34" s="1"/>
  <c r="F34" s="1"/>
  <c r="Q34" s="1"/>
  <c r="Q17" i="30"/>
  <c r="P71"/>
  <c r="F18"/>
  <c r="D18"/>
  <c r="C19"/>
  <c r="E18"/>
  <c r="C34" s="1"/>
  <c r="F34" s="1"/>
  <c r="Q34" s="1"/>
  <c r="O76"/>
  <c r="O35"/>
  <c r="J32" i="11" s="1"/>
  <c r="Q17" i="29"/>
  <c r="F18"/>
  <c r="D18"/>
  <c r="C19"/>
  <c r="E18"/>
  <c r="C34" s="1"/>
  <c r="F34" s="1"/>
  <c r="Q34" s="1"/>
  <c r="O76"/>
  <c r="O35"/>
  <c r="J31" i="11" s="1"/>
  <c r="J71" i="28"/>
  <c r="F18"/>
  <c r="D18"/>
  <c r="C19"/>
  <c r="E18"/>
  <c r="C34" s="1"/>
  <c r="F34" s="1"/>
  <c r="Q34" s="1"/>
  <c r="O76"/>
  <c r="O35"/>
  <c r="J30" i="11" s="1"/>
  <c r="J71" i="25"/>
  <c r="K27" i="9"/>
  <c r="N27" s="1"/>
  <c r="K27" i="3" s="1"/>
  <c r="J71" i="27"/>
  <c r="K29" i="9"/>
  <c r="N29" s="1"/>
  <c r="K29" i="3" s="1"/>
  <c r="Q17" i="14"/>
  <c r="F32" i="16"/>
  <c r="Q32" s="1"/>
  <c r="J71" i="19"/>
  <c r="K21" i="9"/>
  <c r="N21" s="1"/>
  <c r="K21" i="3" s="1"/>
  <c r="Q17" i="20"/>
  <c r="K22" i="9" s="1"/>
  <c r="N22" s="1"/>
  <c r="K22" i="3" s="1"/>
  <c r="Q17" i="23"/>
  <c r="K25" i="9" s="1"/>
  <c r="N25" s="1"/>
  <c r="K25" i="3" s="1"/>
  <c r="Q17" i="24"/>
  <c r="K26" i="9" s="1"/>
  <c r="N26" s="1"/>
  <c r="K26" i="3" s="1"/>
  <c r="O76" i="27"/>
  <c r="O35"/>
  <c r="J29" i="11" s="1"/>
  <c r="F18" i="27"/>
  <c r="D18"/>
  <c r="C19"/>
  <c r="E18"/>
  <c r="C34" s="1"/>
  <c r="F34" s="1"/>
  <c r="Q34" s="1"/>
  <c r="Q17" i="26"/>
  <c r="F18"/>
  <c r="D18"/>
  <c r="C19"/>
  <c r="E18"/>
  <c r="C34" s="1"/>
  <c r="F34" s="1"/>
  <c r="P71"/>
  <c r="O76"/>
  <c r="O35"/>
  <c r="J28" i="11" s="1"/>
  <c r="Q34" i="26"/>
  <c r="O76" i="25"/>
  <c r="O35"/>
  <c r="J27" i="11" s="1"/>
  <c r="F18" i="25"/>
  <c r="D18"/>
  <c r="C19"/>
  <c r="E18"/>
  <c r="C34" s="1"/>
  <c r="F34" s="1"/>
  <c r="Q34" s="1"/>
  <c r="J71" i="24"/>
  <c r="P71"/>
  <c r="O76"/>
  <c r="O35"/>
  <c r="J26" i="11" s="1"/>
  <c r="F18" i="24"/>
  <c r="D18"/>
  <c r="C19"/>
  <c r="E18"/>
  <c r="C34" s="1"/>
  <c r="F34" s="1"/>
  <c r="Q34" s="1"/>
  <c r="J71" i="23"/>
  <c r="O76"/>
  <c r="O35"/>
  <c r="J25" i="11" s="1"/>
  <c r="F18" i="23"/>
  <c r="D18"/>
  <c r="C19"/>
  <c r="E18"/>
  <c r="C34" s="1"/>
  <c r="F34" s="1"/>
  <c r="Q34" s="1"/>
  <c r="Q17" i="22"/>
  <c r="F18"/>
  <c r="D18"/>
  <c r="C19"/>
  <c r="E18"/>
  <c r="C34" s="1"/>
  <c r="F34" s="1"/>
  <c r="Q34" s="1"/>
  <c r="O76"/>
  <c r="O35"/>
  <c r="J24" i="11" s="1"/>
  <c r="J71" i="21"/>
  <c r="F18"/>
  <c r="D18"/>
  <c r="C19"/>
  <c r="E18"/>
  <c r="C34" s="1"/>
  <c r="F34" s="1"/>
  <c r="Q34" s="1"/>
  <c r="O76"/>
  <c r="O35"/>
  <c r="J23" i="11" s="1"/>
  <c r="J71" i="20"/>
  <c r="P71"/>
  <c r="O76"/>
  <c r="O35"/>
  <c r="J22" i="11" s="1"/>
  <c r="F18" i="20"/>
  <c r="D18"/>
  <c r="C19"/>
  <c r="E18"/>
  <c r="C34" s="1"/>
  <c r="F34" s="1"/>
  <c r="Q34" s="1"/>
  <c r="F18" i="19"/>
  <c r="D18"/>
  <c r="C19"/>
  <c r="E18"/>
  <c r="C34" s="1"/>
  <c r="F34" s="1"/>
  <c r="Q34" s="1"/>
  <c r="O76"/>
  <c r="O35"/>
  <c r="J21" i="11" s="1"/>
  <c r="Q17" i="18"/>
  <c r="F18"/>
  <c r="D18"/>
  <c r="C19"/>
  <c r="E18"/>
  <c r="C34" s="1"/>
  <c r="F34" s="1"/>
  <c r="Q34" s="1"/>
  <c r="O76"/>
  <c r="O35"/>
  <c r="J20" i="11" s="1"/>
  <c r="Q17" i="17"/>
  <c r="P71"/>
  <c r="O76"/>
  <c r="O35"/>
  <c r="J19" i="11" s="1"/>
  <c r="F18" i="17"/>
  <c r="D18"/>
  <c r="C19"/>
  <c r="E17" i="16"/>
  <c r="J71"/>
  <c r="F18"/>
  <c r="D18"/>
  <c r="C19"/>
  <c r="E18"/>
  <c r="P71"/>
  <c r="O76"/>
  <c r="O35"/>
  <c r="J18" i="11" s="1"/>
  <c r="C33" i="15"/>
  <c r="F33" s="1"/>
  <c r="Q33" s="1"/>
  <c r="Q17"/>
  <c r="K17" i="9" s="1"/>
  <c r="N17" s="1"/>
  <c r="K17" i="3" s="1"/>
  <c r="J71" i="14"/>
  <c r="K16" i="9"/>
  <c r="N16" s="1"/>
  <c r="K16" i="3" s="1"/>
  <c r="P71" i="15"/>
  <c r="O76"/>
  <c r="O35"/>
  <c r="J17" i="11" s="1"/>
  <c r="F18" i="15"/>
  <c r="D18"/>
  <c r="E18" s="1"/>
  <c r="C34" s="1"/>
  <c r="C19"/>
  <c r="C19" i="14"/>
  <c r="F18"/>
  <c r="D18"/>
  <c r="O76"/>
  <c r="O35"/>
  <c r="J16" i="11" s="1"/>
  <c r="N76" i="13"/>
  <c r="O34"/>
  <c r="G15" i="11" s="1"/>
  <c r="Y49" i="13"/>
  <c r="Q16"/>
  <c r="H15" i="9" s="1"/>
  <c r="P71" i="13"/>
  <c r="F17"/>
  <c r="D17"/>
  <c r="E17" s="1"/>
  <c r="C33" s="1"/>
  <c r="F33" s="1"/>
  <c r="Q33" s="1"/>
  <c r="C18"/>
  <c r="B88" i="1"/>
  <c r="Q18" i="28" l="1"/>
  <c r="E30" i="11" s="1"/>
  <c r="Q18" i="20"/>
  <c r="E22" i="11" s="1"/>
  <c r="Q18" i="21"/>
  <c r="E23" i="11" s="1"/>
  <c r="Q18" i="27"/>
  <c r="E29" i="11" s="1"/>
  <c r="J71" i="30"/>
  <c r="K32" i="9"/>
  <c r="N32" s="1"/>
  <c r="K32" i="3" s="1"/>
  <c r="Q18" i="17"/>
  <c r="E19" i="11" s="1"/>
  <c r="Q18" i="25"/>
  <c r="E27" i="11" s="1"/>
  <c r="J71" i="29"/>
  <c r="K31" i="9"/>
  <c r="N31" s="1"/>
  <c r="K31" i="3" s="1"/>
  <c r="J71" i="31"/>
  <c r="K33" i="9"/>
  <c r="N33" s="1"/>
  <c r="K33" i="3" s="1"/>
  <c r="Q18" i="31"/>
  <c r="E33" i="11" s="1"/>
  <c r="P76" i="31"/>
  <c r="O36"/>
  <c r="M33" i="11" s="1"/>
  <c r="P33" s="1"/>
  <c r="P33" i="3" s="1"/>
  <c r="S33" s="1"/>
  <c r="F19" i="31"/>
  <c r="D19"/>
  <c r="C20"/>
  <c r="E19"/>
  <c r="C35" s="1"/>
  <c r="F35" s="1"/>
  <c r="Q35" s="1"/>
  <c r="N72"/>
  <c r="AB49"/>
  <c r="AD50" s="1"/>
  <c r="Q18" i="30"/>
  <c r="E32" i="11" s="1"/>
  <c r="P76" i="30"/>
  <c r="O36"/>
  <c r="M32" i="11" s="1"/>
  <c r="P32" s="1"/>
  <c r="P32" i="3" s="1"/>
  <c r="S32" s="1"/>
  <c r="F19" i="30"/>
  <c r="D19"/>
  <c r="C20"/>
  <c r="E19"/>
  <c r="C35" s="1"/>
  <c r="F35" s="1"/>
  <c r="Q35" s="1"/>
  <c r="N72"/>
  <c r="AB49"/>
  <c r="AD50" s="1"/>
  <c r="Q18" i="29"/>
  <c r="E31" i="11" s="1"/>
  <c r="P76" i="29"/>
  <c r="O36"/>
  <c r="F19"/>
  <c r="D19"/>
  <c r="C20"/>
  <c r="E19"/>
  <c r="C35" s="1"/>
  <c r="F35" s="1"/>
  <c r="Q35" s="1"/>
  <c r="P76" i="28"/>
  <c r="O36"/>
  <c r="M30" i="11" s="1"/>
  <c r="P30" s="1"/>
  <c r="P30" i="3" s="1"/>
  <c r="S30" s="1"/>
  <c r="F19" i="28"/>
  <c r="D19"/>
  <c r="Q19" s="1"/>
  <c r="H30" i="11" s="1"/>
  <c r="C20" i="28"/>
  <c r="E19"/>
  <c r="C35" s="1"/>
  <c r="F35" s="1"/>
  <c r="Q35" s="1"/>
  <c r="J71" i="17"/>
  <c r="K19" i="9"/>
  <c r="N19" s="1"/>
  <c r="K19" i="3" s="1"/>
  <c r="J71" i="18"/>
  <c r="K20" i="9"/>
  <c r="N20" s="1"/>
  <c r="K20" i="3" s="1"/>
  <c r="J71" i="22"/>
  <c r="K24" i="9"/>
  <c r="N24" s="1"/>
  <c r="K24" i="3" s="1"/>
  <c r="F34" i="16"/>
  <c r="Q34" s="1"/>
  <c r="F33"/>
  <c r="Q33" s="1"/>
  <c r="J71" i="26"/>
  <c r="K28" i="9"/>
  <c r="N28" s="1"/>
  <c r="K28" i="3" s="1"/>
  <c r="E18" i="17"/>
  <c r="C34" s="1"/>
  <c r="F34" s="1"/>
  <c r="Q34" s="1"/>
  <c r="Q18" i="24"/>
  <c r="E26" i="11" s="1"/>
  <c r="P76" i="27"/>
  <c r="O36"/>
  <c r="M29" i="11" s="1"/>
  <c r="P29" s="1"/>
  <c r="P29" i="3" s="1"/>
  <c r="S29" s="1"/>
  <c r="F19" i="27"/>
  <c r="D19"/>
  <c r="C20"/>
  <c r="E19"/>
  <c r="C35" s="1"/>
  <c r="F35" s="1"/>
  <c r="Q35" s="1"/>
  <c r="Q18" i="26"/>
  <c r="E28" i="11" s="1"/>
  <c r="P76" i="26"/>
  <c r="O36"/>
  <c r="M28" i="11" s="1"/>
  <c r="P28" s="1"/>
  <c r="P28" i="3" s="1"/>
  <c r="S28" s="1"/>
  <c r="F19" i="26"/>
  <c r="D19"/>
  <c r="C20"/>
  <c r="E19"/>
  <c r="C35" s="1"/>
  <c r="F35" s="1"/>
  <c r="Q35" s="1"/>
  <c r="P76" i="25"/>
  <c r="O36"/>
  <c r="M27" i="11" s="1"/>
  <c r="P27" s="1"/>
  <c r="P27" i="3" s="1"/>
  <c r="S27" s="1"/>
  <c r="F19" i="25"/>
  <c r="D19"/>
  <c r="C20"/>
  <c r="E19"/>
  <c r="C35" s="1"/>
  <c r="F35" s="1"/>
  <c r="Q35" s="1"/>
  <c r="AB49"/>
  <c r="AD50" s="1"/>
  <c r="F19" i="24"/>
  <c r="D19"/>
  <c r="C20"/>
  <c r="E19"/>
  <c r="C35" s="1"/>
  <c r="F35" s="1"/>
  <c r="Q35" s="1"/>
  <c r="P76"/>
  <c r="O36"/>
  <c r="M26" i="11" s="1"/>
  <c r="P26" s="1"/>
  <c r="P26" i="3" s="1"/>
  <c r="S26" s="1"/>
  <c r="Q18" i="23"/>
  <c r="E25" i="11" s="1"/>
  <c r="P76" i="23"/>
  <c r="O36"/>
  <c r="M25" i="11" s="1"/>
  <c r="P25" s="1"/>
  <c r="P25" i="3" s="1"/>
  <c r="S25" s="1"/>
  <c r="F19" i="23"/>
  <c r="D19"/>
  <c r="C20"/>
  <c r="E19"/>
  <c r="C35" s="1"/>
  <c r="F35" s="1"/>
  <c r="Q35" s="1"/>
  <c r="N72"/>
  <c r="Q18" i="22"/>
  <c r="E24" i="11" s="1"/>
  <c r="P76" i="22"/>
  <c r="O36"/>
  <c r="M24" i="11" s="1"/>
  <c r="P24" s="1"/>
  <c r="P24" i="3" s="1"/>
  <c r="S24" s="1"/>
  <c r="F19" i="22"/>
  <c r="D19"/>
  <c r="C20"/>
  <c r="E19"/>
  <c r="C35" s="1"/>
  <c r="F35" s="1"/>
  <c r="Q35" s="1"/>
  <c r="P76" i="21"/>
  <c r="O36"/>
  <c r="F19"/>
  <c r="D19"/>
  <c r="C20"/>
  <c r="E19"/>
  <c r="C35" s="1"/>
  <c r="F35" s="1"/>
  <c r="Q35" s="1"/>
  <c r="P76" i="20"/>
  <c r="O36"/>
  <c r="M22" i="11" s="1"/>
  <c r="P22" s="1"/>
  <c r="P22" i="3" s="1"/>
  <c r="S22" s="1"/>
  <c r="F19" i="20"/>
  <c r="D19"/>
  <c r="C20"/>
  <c r="E19"/>
  <c r="C35" s="1"/>
  <c r="F35" s="1"/>
  <c r="Q35" s="1"/>
  <c r="Q18" i="19"/>
  <c r="E21" i="11" s="1"/>
  <c r="P76" i="19"/>
  <c r="O36"/>
  <c r="M21" i="11" s="1"/>
  <c r="P21" s="1"/>
  <c r="P21" i="3" s="1"/>
  <c r="S21" s="1"/>
  <c r="F19" i="19"/>
  <c r="D19"/>
  <c r="C20"/>
  <c r="E19"/>
  <c r="C35" s="1"/>
  <c r="F35" s="1"/>
  <c r="Q35" s="1"/>
  <c r="Q18" i="18"/>
  <c r="E20" i="11" s="1"/>
  <c r="P76" i="18"/>
  <c r="O36"/>
  <c r="M20" i="11" s="1"/>
  <c r="P20" s="1"/>
  <c r="P20" i="3" s="1"/>
  <c r="S20" s="1"/>
  <c r="F19" i="18"/>
  <c r="D19"/>
  <c r="C20"/>
  <c r="P76" i="17"/>
  <c r="O36"/>
  <c r="M19" i="11" s="1"/>
  <c r="P19" s="1"/>
  <c r="P19" i="3" s="1"/>
  <c r="S19" s="1"/>
  <c r="F19" i="17"/>
  <c r="D19"/>
  <c r="C20"/>
  <c r="E19"/>
  <c r="C35" s="1"/>
  <c r="F35" s="1"/>
  <c r="Q35" s="1"/>
  <c r="Q18" i="16"/>
  <c r="E18" i="11" s="1"/>
  <c r="P76" i="16"/>
  <c r="O36"/>
  <c r="M18" i="11" s="1"/>
  <c r="P18" s="1"/>
  <c r="P18" i="3" s="1"/>
  <c r="S18" s="1"/>
  <c r="F19" i="16"/>
  <c r="D19"/>
  <c r="C20"/>
  <c r="E19"/>
  <c r="J71" i="15"/>
  <c r="Q18" i="14"/>
  <c r="E16" i="11" s="1"/>
  <c r="Q18" i="15"/>
  <c r="E17" i="11" s="1"/>
  <c r="F34" i="15"/>
  <c r="Q34" s="1"/>
  <c r="F19"/>
  <c r="D19"/>
  <c r="E19" s="1"/>
  <c r="C20"/>
  <c r="P76"/>
  <c r="O36"/>
  <c r="E18" i="14"/>
  <c r="C34" s="1"/>
  <c r="F34" s="1"/>
  <c r="Q34" s="1"/>
  <c r="P76"/>
  <c r="O36"/>
  <c r="M16" i="11" s="1"/>
  <c r="P16" s="1"/>
  <c r="P16" i="3" s="1"/>
  <c r="S16" s="1"/>
  <c r="F19" i="14"/>
  <c r="C20"/>
  <c r="D19"/>
  <c r="Q19" s="1"/>
  <c r="H16" i="11" s="1"/>
  <c r="Q17" i="13"/>
  <c r="F18"/>
  <c r="D18"/>
  <c r="E18" s="1"/>
  <c r="C34" s="1"/>
  <c r="F34" s="1"/>
  <c r="Q34" s="1"/>
  <c r="C19"/>
  <c r="O76"/>
  <c r="O35"/>
  <c r="J15" i="11" s="1"/>
  <c r="P37" i="1"/>
  <c r="O26"/>
  <c r="N26"/>
  <c r="M26"/>
  <c r="M27" s="1"/>
  <c r="M28" s="1"/>
  <c r="M29" s="1"/>
  <c r="M30" s="1"/>
  <c r="M31" s="1"/>
  <c r="M32" s="1"/>
  <c r="M33" s="1"/>
  <c r="M34" s="1"/>
  <c r="M35" s="1"/>
  <c r="M36" s="1"/>
  <c r="L26"/>
  <c r="J26"/>
  <c r="J27" s="1"/>
  <c r="J28" s="1"/>
  <c r="J29" s="1"/>
  <c r="J30" s="1"/>
  <c r="J31" s="1"/>
  <c r="J32" s="1"/>
  <c r="J33" s="1"/>
  <c r="J34" s="1"/>
  <c r="J35" s="1"/>
  <c r="J36" s="1"/>
  <c r="I26"/>
  <c r="G26"/>
  <c r="G10"/>
  <c r="F9"/>
  <c r="Q19" i="31" l="1"/>
  <c r="H33" i="11" s="1"/>
  <c r="N72" i="17"/>
  <c r="Q19" i="18"/>
  <c r="H20" i="11" s="1"/>
  <c r="Q19" i="21"/>
  <c r="H23" i="11" s="1"/>
  <c r="N72" i="25"/>
  <c r="AB49" i="27"/>
  <c r="AD50" s="1"/>
  <c r="AB49" i="29"/>
  <c r="AD50" s="1"/>
  <c r="M31" i="11"/>
  <c r="P31" s="1"/>
  <c r="P31" i="3" s="1"/>
  <c r="S31" s="1"/>
  <c r="N72" i="29"/>
  <c r="Q19" i="30"/>
  <c r="H32" i="11" s="1"/>
  <c r="Q19" i="16"/>
  <c r="H18" i="11" s="1"/>
  <c r="N72" i="19"/>
  <c r="P72" s="1"/>
  <c r="P73" s="1"/>
  <c r="L91" s="1"/>
  <c r="B92" s="1"/>
  <c r="N72" i="20"/>
  <c r="N72" i="27"/>
  <c r="E19" i="18"/>
  <c r="C35" s="1"/>
  <c r="F35" s="1"/>
  <c r="Q35" s="1"/>
  <c r="Q19" i="29"/>
  <c r="H31" i="11" s="1"/>
  <c r="Q76" i="31"/>
  <c r="O37"/>
  <c r="P72"/>
  <c r="P73" s="1"/>
  <c r="L91" s="1"/>
  <c r="B92" s="1"/>
  <c r="N73"/>
  <c r="F20"/>
  <c r="F21" s="1"/>
  <c r="D20"/>
  <c r="D21" s="1"/>
  <c r="C21"/>
  <c r="Q76" i="30"/>
  <c r="O37"/>
  <c r="P72"/>
  <c r="P73" s="1"/>
  <c r="L91" s="1"/>
  <c r="B92" s="1"/>
  <c r="N73"/>
  <c r="F20"/>
  <c r="F21" s="1"/>
  <c r="D20"/>
  <c r="D21" s="1"/>
  <c r="C21"/>
  <c r="F20" i="29"/>
  <c r="F21" s="1"/>
  <c r="D20"/>
  <c r="D21" s="1"/>
  <c r="C21"/>
  <c r="P72"/>
  <c r="P73" s="1"/>
  <c r="L91" s="1"/>
  <c r="B92" s="1"/>
  <c r="N73"/>
  <c r="Q76"/>
  <c r="O37"/>
  <c r="F20" i="28"/>
  <c r="F21" s="1"/>
  <c r="D20"/>
  <c r="D21" s="1"/>
  <c r="C21"/>
  <c r="Q76"/>
  <c r="O37"/>
  <c r="AB49"/>
  <c r="AD50" s="1"/>
  <c r="N72"/>
  <c r="N72" i="15"/>
  <c r="M17" i="11"/>
  <c r="P17" s="1"/>
  <c r="P17" i="3" s="1"/>
  <c r="S17" s="1"/>
  <c r="F35" i="16"/>
  <c r="Q35" s="1"/>
  <c r="Q19" i="25"/>
  <c r="H27" i="11" s="1"/>
  <c r="J71" i="13"/>
  <c r="K15" i="9"/>
  <c r="N15" s="1"/>
  <c r="K15" i="3" s="1"/>
  <c r="AB49" i="21"/>
  <c r="AD50" s="1"/>
  <c r="M23" i="11"/>
  <c r="P23" s="1"/>
  <c r="P23" i="3" s="1"/>
  <c r="S23" s="1"/>
  <c r="Q18" i="13"/>
  <c r="E15" i="11" s="1"/>
  <c r="AB49" i="17"/>
  <c r="AD50" s="1"/>
  <c r="Q19"/>
  <c r="H19" i="11" s="1"/>
  <c r="N72" i="18"/>
  <c r="AB49" i="19"/>
  <c r="AD50" s="1"/>
  <c r="Q19"/>
  <c r="AB49" i="20"/>
  <c r="AD50" s="1"/>
  <c r="Q19"/>
  <c r="AB49" i="23"/>
  <c r="AD50" s="1"/>
  <c r="Q19" i="27"/>
  <c r="H29" i="11" s="1"/>
  <c r="Q76" i="27"/>
  <c r="O37"/>
  <c r="P72"/>
  <c r="P73" s="1"/>
  <c r="L91" s="1"/>
  <c r="B92" s="1"/>
  <c r="N73"/>
  <c r="F20"/>
  <c r="F21" s="1"/>
  <c r="D20"/>
  <c r="D21" s="1"/>
  <c r="C21"/>
  <c r="Q19" i="26"/>
  <c r="H28" i="11" s="1"/>
  <c r="Q76" i="26"/>
  <c r="O37"/>
  <c r="AB49"/>
  <c r="AD50" s="1"/>
  <c r="N72"/>
  <c r="F20"/>
  <c r="F21" s="1"/>
  <c r="D20"/>
  <c r="D21" s="1"/>
  <c r="C21"/>
  <c r="Q76" i="25"/>
  <c r="O37"/>
  <c r="P72"/>
  <c r="P73" s="1"/>
  <c r="L91" s="1"/>
  <c r="B92" s="1"/>
  <c r="N73"/>
  <c r="F20"/>
  <c r="F21" s="1"/>
  <c r="D20"/>
  <c r="D21" s="1"/>
  <c r="C21"/>
  <c r="Q19" i="24"/>
  <c r="H26" i="11" s="1"/>
  <c r="Q76" i="24"/>
  <c r="O37"/>
  <c r="F20"/>
  <c r="F21" s="1"/>
  <c r="D20"/>
  <c r="D21" s="1"/>
  <c r="C21"/>
  <c r="N72"/>
  <c r="AB49"/>
  <c r="AD50" s="1"/>
  <c r="Q19" i="23"/>
  <c r="H25" i="11" s="1"/>
  <c r="P72" i="23"/>
  <c r="P73" s="1"/>
  <c r="L91" s="1"/>
  <c r="B92" s="1"/>
  <c r="N73"/>
  <c r="F20"/>
  <c r="F21" s="1"/>
  <c r="D20"/>
  <c r="D21" s="1"/>
  <c r="C21"/>
  <c r="Q76"/>
  <c r="O37"/>
  <c r="Q19" i="22"/>
  <c r="H24" i="11" s="1"/>
  <c r="F20" i="22"/>
  <c r="F21" s="1"/>
  <c r="D20"/>
  <c r="D21" s="1"/>
  <c r="C21"/>
  <c r="Q76"/>
  <c r="O37"/>
  <c r="AB49"/>
  <c r="AD50" s="1"/>
  <c r="N72"/>
  <c r="N72" i="21"/>
  <c r="N73" s="1"/>
  <c r="F20"/>
  <c r="F21" s="1"/>
  <c r="D20"/>
  <c r="D21" s="1"/>
  <c r="C21"/>
  <c r="P72"/>
  <c r="P73" s="1"/>
  <c r="L91" s="1"/>
  <c r="B92" s="1"/>
  <c r="Q76"/>
  <c r="O37"/>
  <c r="P72" i="20"/>
  <c r="P73" s="1"/>
  <c r="L91" s="1"/>
  <c r="B92" s="1"/>
  <c r="N73"/>
  <c r="F20"/>
  <c r="F21" s="1"/>
  <c r="D20"/>
  <c r="D21" s="1"/>
  <c r="C21"/>
  <c r="Q76"/>
  <c r="O37"/>
  <c r="Q76" i="19"/>
  <c r="O37"/>
  <c r="N73"/>
  <c r="F20"/>
  <c r="F21" s="1"/>
  <c r="D20"/>
  <c r="D21" s="1"/>
  <c r="C21"/>
  <c r="F20" i="18"/>
  <c r="F21" s="1"/>
  <c r="D20"/>
  <c r="D21" s="1"/>
  <c r="C21"/>
  <c r="P72"/>
  <c r="P73" s="1"/>
  <c r="L91" s="1"/>
  <c r="B92" s="1"/>
  <c r="N73"/>
  <c r="Q76"/>
  <c r="O37"/>
  <c r="AB49"/>
  <c r="AD50" s="1"/>
  <c r="Q76" i="17"/>
  <c r="O37"/>
  <c r="P72"/>
  <c r="P73" s="1"/>
  <c r="L91" s="1"/>
  <c r="B92" s="1"/>
  <c r="N73"/>
  <c r="F20"/>
  <c r="F21" s="1"/>
  <c r="D20"/>
  <c r="D21" s="1"/>
  <c r="C21"/>
  <c r="F20" i="16"/>
  <c r="F21" s="1"/>
  <c r="D20"/>
  <c r="D21" s="1"/>
  <c r="C21"/>
  <c r="Q76"/>
  <c r="O37"/>
  <c r="AB49"/>
  <c r="AD50" s="1"/>
  <c r="N72"/>
  <c r="C35" i="15"/>
  <c r="F35" s="1"/>
  <c r="Q35" s="1"/>
  <c r="Q19"/>
  <c r="H17" i="11" s="1"/>
  <c r="P72" i="15"/>
  <c r="P73" s="1"/>
  <c r="L91" s="1"/>
  <c r="B92" s="1"/>
  <c r="N73"/>
  <c r="F20"/>
  <c r="F21" s="1"/>
  <c r="D20"/>
  <c r="D21" s="1"/>
  <c r="C21"/>
  <c r="Q76"/>
  <c r="O37"/>
  <c r="AB49"/>
  <c r="AD50" s="1"/>
  <c r="Q76" i="14"/>
  <c r="O37"/>
  <c r="AB49"/>
  <c r="AD50" s="1"/>
  <c r="N72"/>
  <c r="E19"/>
  <c r="C35" s="1"/>
  <c r="F35" s="1"/>
  <c r="Q35" s="1"/>
  <c r="F20"/>
  <c r="F21" s="1"/>
  <c r="D20"/>
  <c r="D21" s="1"/>
  <c r="C21"/>
  <c r="F19" i="13"/>
  <c r="D19"/>
  <c r="C20"/>
  <c r="E19"/>
  <c r="C35" s="1"/>
  <c r="F35" s="1"/>
  <c r="Q35" s="1"/>
  <c r="P76"/>
  <c r="O36"/>
  <c r="M15" i="11" s="1"/>
  <c r="P15" s="1"/>
  <c r="P15" i="3" s="1"/>
  <c r="S15" s="1"/>
  <c r="Q9" i="1"/>
  <c r="E14" i="2" s="1"/>
  <c r="J14"/>
  <c r="F76" i="1"/>
  <c r="Z70"/>
  <c r="P21"/>
  <c r="G27"/>
  <c r="G28" s="1"/>
  <c r="G29" s="1"/>
  <c r="G30" s="1"/>
  <c r="G31" s="1"/>
  <c r="G32" s="1"/>
  <c r="G33" s="1"/>
  <c r="G34" s="1"/>
  <c r="G35" s="1"/>
  <c r="G36" s="1"/>
  <c r="J37"/>
  <c r="O27"/>
  <c r="G76" s="1"/>
  <c r="G11"/>
  <c r="G12" s="1"/>
  <c r="G13" s="1"/>
  <c r="G14" s="1"/>
  <c r="G15" s="1"/>
  <c r="G16" s="1"/>
  <c r="G17" s="1"/>
  <c r="G18" s="1"/>
  <c r="G19" s="1"/>
  <c r="G20" s="1"/>
  <c r="L21"/>
  <c r="N21"/>
  <c r="F25"/>
  <c r="Q25" s="1"/>
  <c r="L27"/>
  <c r="L28" s="1"/>
  <c r="L29" s="1"/>
  <c r="L30" s="1"/>
  <c r="L31" s="1"/>
  <c r="L32" s="1"/>
  <c r="L33" s="1"/>
  <c r="L34" s="1"/>
  <c r="L35" s="1"/>
  <c r="L36" s="1"/>
  <c r="M21"/>
  <c r="N27"/>
  <c r="N28" s="1"/>
  <c r="N29" s="1"/>
  <c r="N30" s="1"/>
  <c r="N31" s="1"/>
  <c r="N32" s="1"/>
  <c r="N33" s="1"/>
  <c r="N34" s="1"/>
  <c r="N35" s="1"/>
  <c r="N36" s="1"/>
  <c r="M37"/>
  <c r="I27"/>
  <c r="I28" s="1"/>
  <c r="I29" s="1"/>
  <c r="I30" s="1"/>
  <c r="I31" s="1"/>
  <c r="I32" s="1"/>
  <c r="I33" s="1"/>
  <c r="I34" s="1"/>
  <c r="I35" s="1"/>
  <c r="I36" s="1"/>
  <c r="E20" i="28" l="1"/>
  <c r="Q20" i="31"/>
  <c r="K33" i="11" s="1"/>
  <c r="N33" s="1"/>
  <c r="N33" i="3" s="1"/>
  <c r="Q33" s="1"/>
  <c r="E20" i="31"/>
  <c r="Q20" i="30"/>
  <c r="K32" i="11" s="1"/>
  <c r="N32" s="1"/>
  <c r="N32" i="3" s="1"/>
  <c r="Q32" s="1"/>
  <c r="E20" i="30"/>
  <c r="Q20" i="29"/>
  <c r="K31" i="11" s="1"/>
  <c r="N31" s="1"/>
  <c r="N31" i="3" s="1"/>
  <c r="Q31" s="1"/>
  <c r="E20" i="29"/>
  <c r="P72" i="28"/>
  <c r="P73" s="1"/>
  <c r="L91" s="1"/>
  <c r="B92" s="1"/>
  <c r="N73"/>
  <c r="Q20"/>
  <c r="K30" i="11" s="1"/>
  <c r="N30" s="1"/>
  <c r="N30" i="3" s="1"/>
  <c r="Q30" s="1"/>
  <c r="H22" i="11"/>
  <c r="H21"/>
  <c r="E20" i="18"/>
  <c r="E20" i="24"/>
  <c r="Q20" i="27"/>
  <c r="K29" i="11" s="1"/>
  <c r="N29" s="1"/>
  <c r="N29" i="3" s="1"/>
  <c r="Q29" s="1"/>
  <c r="E20" i="27"/>
  <c r="P72" i="26"/>
  <c r="P73" s="1"/>
  <c r="L91" s="1"/>
  <c r="B92" s="1"/>
  <c r="N73"/>
  <c r="Q20"/>
  <c r="K28" i="11" s="1"/>
  <c r="N28" s="1"/>
  <c r="N28" i="3" s="1"/>
  <c r="Q28" s="1"/>
  <c r="E20" i="26"/>
  <c r="Q20" i="25"/>
  <c r="K27" i="11" s="1"/>
  <c r="N27" s="1"/>
  <c r="N27" i="3" s="1"/>
  <c r="Q27" s="1"/>
  <c r="E20" i="25"/>
  <c r="Q20" i="24"/>
  <c r="K26" i="11" s="1"/>
  <c r="N26" s="1"/>
  <c r="N26" i="3" s="1"/>
  <c r="Q26" s="1"/>
  <c r="P72" i="24"/>
  <c r="P73" s="1"/>
  <c r="L91" s="1"/>
  <c r="B92" s="1"/>
  <c r="N73"/>
  <c r="Q20" i="23"/>
  <c r="K25" i="11" s="1"/>
  <c r="N25" s="1"/>
  <c r="N25" i="3" s="1"/>
  <c r="Q25" s="1"/>
  <c r="E20" i="23"/>
  <c r="E20" i="22"/>
  <c r="P72"/>
  <c r="P73" s="1"/>
  <c r="L91" s="1"/>
  <c r="B92" s="1"/>
  <c r="N73"/>
  <c r="Q20"/>
  <c r="K24" i="11" s="1"/>
  <c r="N24" s="1"/>
  <c r="N24" i="3" s="1"/>
  <c r="Q24" s="1"/>
  <c r="Q20" i="21"/>
  <c r="K23" i="11" s="1"/>
  <c r="N23" s="1"/>
  <c r="N23" i="3" s="1"/>
  <c r="Q23" s="1"/>
  <c r="E20" i="21"/>
  <c r="Q20" i="20"/>
  <c r="K22" i="11" s="1"/>
  <c r="E20" i="20"/>
  <c r="Q20" i="19"/>
  <c r="K21" i="11" s="1"/>
  <c r="E20" i="19"/>
  <c r="Q20" i="18"/>
  <c r="K20" i="11" s="1"/>
  <c r="N20" s="1"/>
  <c r="N20" i="3" s="1"/>
  <c r="Q20" s="1"/>
  <c r="Q20" i="17"/>
  <c r="K19" i="11" s="1"/>
  <c r="N19" s="1"/>
  <c r="N19" i="3" s="1"/>
  <c r="Q19" s="1"/>
  <c r="E20" i="17"/>
  <c r="E20" i="16"/>
  <c r="P72"/>
  <c r="P73" s="1"/>
  <c r="L91" s="1"/>
  <c r="B92" s="1"/>
  <c r="N73"/>
  <c r="Q20"/>
  <c r="K18" i="11" s="1"/>
  <c r="N18" s="1"/>
  <c r="N18" i="3" s="1"/>
  <c r="Q18" s="1"/>
  <c r="Q20" i="15"/>
  <c r="K17" i="11" s="1"/>
  <c r="N17" s="1"/>
  <c r="N17" i="3" s="1"/>
  <c r="Q17" s="1"/>
  <c r="E20" i="15"/>
  <c r="C36" s="1"/>
  <c r="E20" i="14"/>
  <c r="P72"/>
  <c r="P73" s="1"/>
  <c r="L91" s="1"/>
  <c r="B92" s="1"/>
  <c r="N73"/>
  <c r="Q20"/>
  <c r="K16" i="11" s="1"/>
  <c r="N16" s="1"/>
  <c r="N16" i="3" s="1"/>
  <c r="Q16" s="1"/>
  <c r="Q19" i="13"/>
  <c r="H15" i="11" s="1"/>
  <c r="F20" i="13"/>
  <c r="F21" s="1"/>
  <c r="D20"/>
  <c r="D21" s="1"/>
  <c r="C21"/>
  <c r="Q76"/>
  <c r="O37"/>
  <c r="AB49"/>
  <c r="AD50" s="1"/>
  <c r="N72"/>
  <c r="O28" i="1"/>
  <c r="M14" i="2"/>
  <c r="P14" s="1"/>
  <c r="G14" i="3" s="1"/>
  <c r="S49" i="1"/>
  <c r="N69"/>
  <c r="G37"/>
  <c r="I37"/>
  <c r="L37"/>
  <c r="N37"/>
  <c r="G21"/>
  <c r="E21" i="29" l="1"/>
  <c r="P46" s="1"/>
  <c r="C36"/>
  <c r="E21" i="30"/>
  <c r="P46" s="1"/>
  <c r="C36"/>
  <c r="E21" i="31"/>
  <c r="P46" s="1"/>
  <c r="C36"/>
  <c r="E21" i="28"/>
  <c r="P46" s="1"/>
  <c r="C36"/>
  <c r="W5" i="31"/>
  <c r="Q21"/>
  <c r="J72"/>
  <c r="J73" s="1"/>
  <c r="Q21" i="30"/>
  <c r="W5"/>
  <c r="J72"/>
  <c r="J73" s="1"/>
  <c r="Q21" i="29"/>
  <c r="W5"/>
  <c r="J72"/>
  <c r="J73" s="1"/>
  <c r="W5" i="28"/>
  <c r="Q21"/>
  <c r="J72"/>
  <c r="J73" s="1"/>
  <c r="E21" i="17"/>
  <c r="P46" s="1"/>
  <c r="C36"/>
  <c r="E21" i="22"/>
  <c r="P46" s="1"/>
  <c r="C36"/>
  <c r="E21" i="25"/>
  <c r="P46" s="1"/>
  <c r="C36"/>
  <c r="E21" i="26"/>
  <c r="P46" s="1"/>
  <c r="C36"/>
  <c r="E21" i="27"/>
  <c r="P46" s="1"/>
  <c r="C36"/>
  <c r="E21" i="18"/>
  <c r="P46" s="1"/>
  <c r="C36"/>
  <c r="N22" i="11"/>
  <c r="N22" i="3" s="1"/>
  <c r="Q22" s="1"/>
  <c r="E21" i="19"/>
  <c r="P46" s="1"/>
  <c r="C36"/>
  <c r="E21" i="20"/>
  <c r="P46" s="1"/>
  <c r="C36"/>
  <c r="E21" i="21"/>
  <c r="P46" s="1"/>
  <c r="C36"/>
  <c r="E21" i="23"/>
  <c r="P46" s="1"/>
  <c r="C36"/>
  <c r="E21" i="24"/>
  <c r="P46" s="1"/>
  <c r="C36"/>
  <c r="N21" i="11"/>
  <c r="N21" i="3" s="1"/>
  <c r="Q21" s="1"/>
  <c r="Q21" i="27"/>
  <c r="W5"/>
  <c r="J72"/>
  <c r="J73" s="1"/>
  <c r="Q21" i="26"/>
  <c r="W5"/>
  <c r="J72"/>
  <c r="J73" s="1"/>
  <c r="W5" i="25"/>
  <c r="Q21"/>
  <c r="J72"/>
  <c r="J73" s="1"/>
  <c r="W5" i="24"/>
  <c r="Q21"/>
  <c r="J72"/>
  <c r="J73" s="1"/>
  <c r="Q21" i="23"/>
  <c r="W5"/>
  <c r="J72"/>
  <c r="J73" s="1"/>
  <c r="Q21" i="22"/>
  <c r="W5"/>
  <c r="J72"/>
  <c r="J73" s="1"/>
  <c r="Q21" i="21"/>
  <c r="W5"/>
  <c r="J72"/>
  <c r="J73" s="1"/>
  <c r="Q21" i="20"/>
  <c r="W5"/>
  <c r="J72"/>
  <c r="J73" s="1"/>
  <c r="Q21" i="19"/>
  <c r="W5"/>
  <c r="J72"/>
  <c r="J73" s="1"/>
  <c r="Q21" i="18"/>
  <c r="W5"/>
  <c r="J72"/>
  <c r="J73" s="1"/>
  <c r="Q21" i="17"/>
  <c r="W5"/>
  <c r="J72"/>
  <c r="J73" s="1"/>
  <c r="Q21" i="16"/>
  <c r="W5"/>
  <c r="J72"/>
  <c r="J73" s="1"/>
  <c r="E21"/>
  <c r="P46" s="1"/>
  <c r="E21" i="14"/>
  <c r="P46" s="1"/>
  <c r="C36"/>
  <c r="E21" i="15"/>
  <c r="P46" s="1"/>
  <c r="W5"/>
  <c r="Q21"/>
  <c r="J72"/>
  <c r="J73" s="1"/>
  <c r="Q21" i="14"/>
  <c r="W5"/>
  <c r="J72"/>
  <c r="J73" s="1"/>
  <c r="E20" i="13"/>
  <c r="P72"/>
  <c r="P73" s="1"/>
  <c r="L91" s="1"/>
  <c r="B92" s="1"/>
  <c r="N73"/>
  <c r="Q20"/>
  <c r="K15" i="11" s="1"/>
  <c r="N15" s="1"/>
  <c r="N15" i="3" s="1"/>
  <c r="Q15" s="1"/>
  <c r="G14" i="7"/>
  <c r="H76" i="1"/>
  <c r="O29"/>
  <c r="I76" s="1"/>
  <c r="V19"/>
  <c r="Z69" s="1"/>
  <c r="V18"/>
  <c r="Z68" s="1"/>
  <c r="P69"/>
  <c r="AD25" i="28" l="1"/>
  <c r="Z81" s="1"/>
  <c r="AB5"/>
  <c r="AB27" s="1"/>
  <c r="AB5" i="31"/>
  <c r="AB27" s="1"/>
  <c r="AD25"/>
  <c r="Z81" s="1"/>
  <c r="AD25" i="30"/>
  <c r="Z81" s="1"/>
  <c r="AB5"/>
  <c r="AB27" s="1"/>
  <c r="AD25" i="29"/>
  <c r="Z81" s="1"/>
  <c r="AB5"/>
  <c r="AB27" s="1"/>
  <c r="AD5" i="31"/>
  <c r="M101" s="1"/>
  <c r="O104" s="1"/>
  <c r="F36" i="28"/>
  <c r="Q36" s="1"/>
  <c r="Q37" s="1"/>
  <c r="J38" s="1"/>
  <c r="C37"/>
  <c r="F37" s="1"/>
  <c r="V17" s="1"/>
  <c r="F36" i="31"/>
  <c r="Q36" s="1"/>
  <c r="Q37" s="1"/>
  <c r="J38" s="1"/>
  <c r="C37"/>
  <c r="F37" s="1"/>
  <c r="V17" s="1"/>
  <c r="F36" i="30"/>
  <c r="Q36" s="1"/>
  <c r="Q37" s="1"/>
  <c r="J38" s="1"/>
  <c r="C37"/>
  <c r="F37" s="1"/>
  <c r="F36" i="29"/>
  <c r="Q36" s="1"/>
  <c r="Q37" s="1"/>
  <c r="J38" s="1"/>
  <c r="C37"/>
  <c r="F37" s="1"/>
  <c r="V17" s="1"/>
  <c r="AD5"/>
  <c r="M101" s="1"/>
  <c r="O104" s="1"/>
  <c r="AD6" i="31"/>
  <c r="AD7" s="1"/>
  <c r="AD8" s="1"/>
  <c r="AD9" s="1"/>
  <c r="AD11" s="1"/>
  <c r="P38"/>
  <c r="C38"/>
  <c r="P38" i="30"/>
  <c r="C38"/>
  <c r="P38" i="29"/>
  <c r="C38"/>
  <c r="P38" i="28"/>
  <c r="C38"/>
  <c r="AD25" i="24"/>
  <c r="Z81" s="1"/>
  <c r="AB5"/>
  <c r="AB27" s="1"/>
  <c r="AD25" i="23"/>
  <c r="Z81" s="1"/>
  <c r="AB5"/>
  <c r="AB27" s="1"/>
  <c r="AD25" i="21"/>
  <c r="Z81" s="1"/>
  <c r="AB5"/>
  <c r="AB27" s="1"/>
  <c r="AD25" i="20"/>
  <c r="Z81" s="1"/>
  <c r="AB5"/>
  <c r="AB27" s="1"/>
  <c r="AD25" i="19"/>
  <c r="Z81" s="1"/>
  <c r="AB5"/>
  <c r="AB27" s="1"/>
  <c r="F36" i="18"/>
  <c r="Q36" s="1"/>
  <c r="Q37" s="1"/>
  <c r="J38" s="1"/>
  <c r="C37"/>
  <c r="F37" s="1"/>
  <c r="V17" s="1"/>
  <c r="F36" i="27"/>
  <c r="Q36" s="1"/>
  <c r="Q37" s="1"/>
  <c r="J38" s="1"/>
  <c r="C37"/>
  <c r="F37" s="1"/>
  <c r="V17" s="1"/>
  <c r="F36" i="26"/>
  <c r="Q36" s="1"/>
  <c r="Q37" s="1"/>
  <c r="J38" s="1"/>
  <c r="C37"/>
  <c r="F37" s="1"/>
  <c r="V17" s="1"/>
  <c r="F36" i="25"/>
  <c r="Q36" s="1"/>
  <c r="Q37" s="1"/>
  <c r="J38" s="1"/>
  <c r="C37"/>
  <c r="F37" s="1"/>
  <c r="V17" s="1"/>
  <c r="F36" i="22"/>
  <c r="Q36" s="1"/>
  <c r="Q37" s="1"/>
  <c r="J38" s="1"/>
  <c r="C37"/>
  <c r="F37" s="1"/>
  <c r="V17" s="1"/>
  <c r="F36" i="17"/>
  <c r="Q36" s="1"/>
  <c r="Q37" s="1"/>
  <c r="J38" s="1"/>
  <c r="C37"/>
  <c r="F37" s="1"/>
  <c r="V17" s="1"/>
  <c r="AD5" i="21"/>
  <c r="AD6" s="1"/>
  <c r="AD7" s="1"/>
  <c r="AD8" s="1"/>
  <c r="AD9" s="1"/>
  <c r="AD11" s="1"/>
  <c r="AD5" i="24"/>
  <c r="AD6" s="1"/>
  <c r="AD7" s="1"/>
  <c r="AD8" s="1"/>
  <c r="AD9" s="1"/>
  <c r="AD11" s="1"/>
  <c r="E21" i="13"/>
  <c r="P46" s="1"/>
  <c r="C36"/>
  <c r="F36" i="24"/>
  <c r="Q36" s="1"/>
  <c r="Q37" s="1"/>
  <c r="J38" s="1"/>
  <c r="C37"/>
  <c r="F37" s="1"/>
  <c r="V17" s="1"/>
  <c r="F36" i="23"/>
  <c r="Q36" s="1"/>
  <c r="Q37" s="1"/>
  <c r="J38" s="1"/>
  <c r="C37"/>
  <c r="F37" s="1"/>
  <c r="V17" s="1"/>
  <c r="F36" i="21"/>
  <c r="Q36" s="1"/>
  <c r="Q37" s="1"/>
  <c r="J38" s="1"/>
  <c r="C37"/>
  <c r="F37" s="1"/>
  <c r="F36" i="20"/>
  <c r="Q36" s="1"/>
  <c r="Q37" s="1"/>
  <c r="J38" s="1"/>
  <c r="C37"/>
  <c r="F37" s="1"/>
  <c r="F36" i="19"/>
  <c r="Q36" s="1"/>
  <c r="Q37" s="1"/>
  <c r="J38" s="1"/>
  <c r="C37"/>
  <c r="F37" s="1"/>
  <c r="AD25" i="18"/>
  <c r="Z81" s="1"/>
  <c r="AB5"/>
  <c r="AB27" s="1"/>
  <c r="AD25" i="27"/>
  <c r="Z81" s="1"/>
  <c r="AB5"/>
  <c r="AD25" i="26"/>
  <c r="Z81" s="1"/>
  <c r="AB5"/>
  <c r="AB27" s="1"/>
  <c r="AD25" i="25"/>
  <c r="Z81" s="1"/>
  <c r="AB5"/>
  <c r="AB27" s="1"/>
  <c r="AD25" i="22"/>
  <c r="Z81" s="1"/>
  <c r="AB5"/>
  <c r="AB27" s="1"/>
  <c r="AB5" i="17"/>
  <c r="AD25"/>
  <c r="Z81" s="1"/>
  <c r="P38" i="27"/>
  <c r="C38"/>
  <c r="P38" i="26"/>
  <c r="C38"/>
  <c r="P38" i="25"/>
  <c r="C38"/>
  <c r="M101" i="24"/>
  <c r="O104" s="1"/>
  <c r="C38"/>
  <c r="P38" i="23"/>
  <c r="C38"/>
  <c r="P38" i="22"/>
  <c r="C38"/>
  <c r="C38" i="21"/>
  <c r="M101"/>
  <c r="O104" s="1"/>
  <c r="C38" i="20"/>
  <c r="C38" i="19"/>
  <c r="C38" i="18"/>
  <c r="P38" i="17"/>
  <c r="C38"/>
  <c r="AD25" i="16"/>
  <c r="Z81" s="1"/>
  <c r="AB5"/>
  <c r="AB27" s="1"/>
  <c r="C38"/>
  <c r="F36"/>
  <c r="Q36" s="1"/>
  <c r="Q37" s="1"/>
  <c r="J38" s="1"/>
  <c r="C37"/>
  <c r="F37" s="1"/>
  <c r="V17" s="1"/>
  <c r="AD5"/>
  <c r="AD25" i="14"/>
  <c r="Z81" s="1"/>
  <c r="AB5"/>
  <c r="F36"/>
  <c r="Q36" s="1"/>
  <c r="Q37" s="1"/>
  <c r="J38" s="1"/>
  <c r="C37"/>
  <c r="F37" s="1"/>
  <c r="V17" s="1"/>
  <c r="F36" i="15"/>
  <c r="Q36" s="1"/>
  <c r="Q37" s="1"/>
  <c r="J38" s="1"/>
  <c r="C37"/>
  <c r="F37" s="1"/>
  <c r="V17" s="1"/>
  <c r="C38"/>
  <c r="AD25"/>
  <c r="Z81" s="1"/>
  <c r="AB5"/>
  <c r="C38" i="14"/>
  <c r="Q21" i="13"/>
  <c r="W5"/>
  <c r="J72"/>
  <c r="J73" s="1"/>
  <c r="O30" i="1"/>
  <c r="J76" s="1"/>
  <c r="J14" i="7"/>
  <c r="AD5" i="20" l="1"/>
  <c r="AD5" i="23"/>
  <c r="AD5" i="19"/>
  <c r="AD5" i="28"/>
  <c r="AD5" i="30"/>
  <c r="P38" i="24"/>
  <c r="P38" i="21"/>
  <c r="P38" i="20"/>
  <c r="P38" i="19"/>
  <c r="P38" i="15"/>
  <c r="P38" i="14"/>
  <c r="AD5" i="18"/>
  <c r="AD6" i="29"/>
  <c r="AD7" s="1"/>
  <c r="AD8" s="1"/>
  <c r="AD9" s="1"/>
  <c r="AD11" s="1"/>
  <c r="AD5" i="27"/>
  <c r="AB27"/>
  <c r="AD5" i="26"/>
  <c r="M101" s="1"/>
  <c r="O104" s="1"/>
  <c r="AD5" i="25"/>
  <c r="AD5" i="22"/>
  <c r="P38" i="18"/>
  <c r="AD5" i="15"/>
  <c r="M101" s="1"/>
  <c r="O104" s="1"/>
  <c r="AB27"/>
  <c r="AD5" i="14"/>
  <c r="AD6" s="1"/>
  <c r="AD7" s="1"/>
  <c r="AD8" s="1"/>
  <c r="AD9" s="1"/>
  <c r="AD11" s="1"/>
  <c r="AB27"/>
  <c r="AD5" i="17"/>
  <c r="AB27"/>
  <c r="Z67" i="29"/>
  <c r="AB81" s="1"/>
  <c r="AB26"/>
  <c r="AD26" s="1"/>
  <c r="AB26" i="30"/>
  <c r="AD26" s="1"/>
  <c r="Z67"/>
  <c r="AB81" s="1"/>
  <c r="AB26" i="31"/>
  <c r="AD26" s="1"/>
  <c r="Z67"/>
  <c r="AB81" s="1"/>
  <c r="Z67" i="28"/>
  <c r="AB81" s="1"/>
  <c r="AB26"/>
  <c r="AD26" s="1"/>
  <c r="AD6" i="26"/>
  <c r="AD7" s="1"/>
  <c r="AD8" s="1"/>
  <c r="AD9" s="1"/>
  <c r="AD11" s="1"/>
  <c r="AD13" s="1"/>
  <c r="O109" i="31"/>
  <c r="Q104"/>
  <c r="AD58"/>
  <c r="AD13"/>
  <c r="O109" i="29"/>
  <c r="Q104"/>
  <c r="AD58"/>
  <c r="AD13"/>
  <c r="M101" i="17"/>
  <c r="O104" s="1"/>
  <c r="AD6"/>
  <c r="AD7" s="1"/>
  <c r="AD8" s="1"/>
  <c r="AD9" s="1"/>
  <c r="AD11" s="1"/>
  <c r="AD13" s="1"/>
  <c r="M101" i="14"/>
  <c r="O104" s="1"/>
  <c r="Q104" s="1"/>
  <c r="M101" i="27"/>
  <c r="O104" s="1"/>
  <c r="AD6"/>
  <c r="AD7" s="1"/>
  <c r="AD8" s="1"/>
  <c r="AD9" s="1"/>
  <c r="AD11" s="1"/>
  <c r="AD13" s="1"/>
  <c r="AD25" i="13"/>
  <c r="Z81" s="1"/>
  <c r="AB5"/>
  <c r="AB27" s="1"/>
  <c r="AB26" i="19"/>
  <c r="AD26" s="1"/>
  <c r="Z67"/>
  <c r="AB81" s="1"/>
  <c r="AB26" i="20"/>
  <c r="Z67"/>
  <c r="AB81" s="1"/>
  <c r="Z67" i="21"/>
  <c r="AB81" s="1"/>
  <c r="AB26"/>
  <c r="AD26" s="1"/>
  <c r="Z67" i="23"/>
  <c r="AB81" s="1"/>
  <c r="AB26"/>
  <c r="AD26" s="1"/>
  <c r="Z67" i="24"/>
  <c r="AB81" s="1"/>
  <c r="AB26"/>
  <c r="AD26" s="1"/>
  <c r="F36" i="13"/>
  <c r="Q36" s="1"/>
  <c r="Q37" s="1"/>
  <c r="J38" s="1"/>
  <c r="C37"/>
  <c r="F37" s="1"/>
  <c r="V17" s="1"/>
  <c r="AB26" i="17"/>
  <c r="AD26" s="1"/>
  <c r="Z67"/>
  <c r="AB81" s="1"/>
  <c r="AB26" i="22"/>
  <c r="AD26" s="1"/>
  <c r="Z67"/>
  <c r="AB81" s="1"/>
  <c r="AB26" i="25"/>
  <c r="AD26" s="1"/>
  <c r="Z67"/>
  <c r="AB81" s="1"/>
  <c r="AB26" i="26"/>
  <c r="AD26" s="1"/>
  <c r="Z67"/>
  <c r="AB81" s="1"/>
  <c r="AB26" i="27"/>
  <c r="AD26" s="1"/>
  <c r="Z67"/>
  <c r="AB81" s="1"/>
  <c r="Z67" i="18"/>
  <c r="AB81" s="1"/>
  <c r="AB26"/>
  <c r="AD26" s="1"/>
  <c r="AD5" i="13"/>
  <c r="AD6" s="1"/>
  <c r="AD7" s="1"/>
  <c r="AD8" s="1"/>
  <c r="AD9" s="1"/>
  <c r="AD11" s="1"/>
  <c r="O109" i="27"/>
  <c r="Q104"/>
  <c r="AD58"/>
  <c r="AD58" i="26"/>
  <c r="O109"/>
  <c r="Q104"/>
  <c r="O109" i="24"/>
  <c r="Q104"/>
  <c r="AD58"/>
  <c r="AD13"/>
  <c r="O109" i="21"/>
  <c r="Q104"/>
  <c r="AD58"/>
  <c r="AD13"/>
  <c r="O109" i="17"/>
  <c r="Q104"/>
  <c r="AD58"/>
  <c r="M101" i="16"/>
  <c r="O104" s="1"/>
  <c r="AD6"/>
  <c r="AD7" s="1"/>
  <c r="AD8" s="1"/>
  <c r="AD9" s="1"/>
  <c r="AD11" s="1"/>
  <c r="P38"/>
  <c r="Z67"/>
  <c r="AB81" s="1"/>
  <c r="AB26"/>
  <c r="AD26" s="1"/>
  <c r="Z67" i="14"/>
  <c r="AB81" s="1"/>
  <c r="AB26"/>
  <c r="AD6" i="15"/>
  <c r="AD7" s="1"/>
  <c r="AD8" s="1"/>
  <c r="AD9" s="1"/>
  <c r="AD11" s="1"/>
  <c r="Z67"/>
  <c r="AB81" s="1"/>
  <c r="AB26"/>
  <c r="AD26" s="1"/>
  <c r="O109" i="14"/>
  <c r="P38" i="13"/>
  <c r="C38"/>
  <c r="M101"/>
  <c r="O104" s="1"/>
  <c r="L76" i="1"/>
  <c r="M14" i="7"/>
  <c r="P14" s="1"/>
  <c r="J14" i="3" s="1"/>
  <c r="N70" i="1"/>
  <c r="P70" s="1"/>
  <c r="V49"/>
  <c r="AD6" i="30" l="1"/>
  <c r="AD7" s="1"/>
  <c r="AD8" s="1"/>
  <c r="AD9" s="1"/>
  <c r="AD11" s="1"/>
  <c r="M101"/>
  <c r="O104" s="1"/>
  <c r="AD6" i="19"/>
  <c r="AD7" s="1"/>
  <c r="AD8" s="1"/>
  <c r="AD9" s="1"/>
  <c r="AD11" s="1"/>
  <c r="M101"/>
  <c r="O104" s="1"/>
  <c r="M101" i="20"/>
  <c r="O104" s="1"/>
  <c r="AD6"/>
  <c r="AD7" s="1"/>
  <c r="AD8" s="1"/>
  <c r="AD9" s="1"/>
  <c r="AD11" s="1"/>
  <c r="AD6" i="28"/>
  <c r="AD7" s="1"/>
  <c r="AD8" s="1"/>
  <c r="AD9" s="1"/>
  <c r="AD11" s="1"/>
  <c r="M101"/>
  <c r="O104" s="1"/>
  <c r="M101" i="23"/>
  <c r="O104" s="1"/>
  <c r="AD6"/>
  <c r="AD7" s="1"/>
  <c r="AD8" s="1"/>
  <c r="AD9" s="1"/>
  <c r="AD11" s="1"/>
  <c r="M101" i="18"/>
  <c r="O104" s="1"/>
  <c r="AD6"/>
  <c r="AD7" s="1"/>
  <c r="AD8" s="1"/>
  <c r="AD9" s="1"/>
  <c r="AD11" s="1"/>
  <c r="M101" i="25"/>
  <c r="O104" s="1"/>
  <c r="AD6"/>
  <c r="AD7" s="1"/>
  <c r="AD8" s="1"/>
  <c r="AD9" s="1"/>
  <c r="AD11" s="1"/>
  <c r="AD6" i="22"/>
  <c r="AD7" s="1"/>
  <c r="AD8" s="1"/>
  <c r="AD9" s="1"/>
  <c r="AD11" s="1"/>
  <c r="M101"/>
  <c r="O104" s="1"/>
  <c r="AD13" i="14"/>
  <c r="AD59" s="1"/>
  <c r="AD58"/>
  <c r="AD81" i="15"/>
  <c r="AD93" s="1"/>
  <c r="AD81" i="16"/>
  <c r="AD93" s="1"/>
  <c r="AD81" i="18"/>
  <c r="AD93" s="1"/>
  <c r="AD81" i="24"/>
  <c r="AD93" s="1"/>
  <c r="AD81" i="23"/>
  <c r="AD93" s="1"/>
  <c r="AD81" i="21"/>
  <c r="AD93" s="1"/>
  <c r="AD81" i="31"/>
  <c r="AD93" s="1"/>
  <c r="AD81" i="30"/>
  <c r="AD93" s="1"/>
  <c r="AD81" i="27"/>
  <c r="AD93" s="1"/>
  <c r="AD81" i="26"/>
  <c r="AD93" s="1"/>
  <c r="AD81" i="25"/>
  <c r="AD93" s="1"/>
  <c r="AD81" i="22"/>
  <c r="AD93" s="1"/>
  <c r="AD81" i="17"/>
  <c r="AD93" s="1"/>
  <c r="AD26" i="20"/>
  <c r="AD81" i="19"/>
  <c r="AD93" s="1"/>
  <c r="AD81" i="28"/>
  <c r="AD93" s="1"/>
  <c r="AD81" i="29"/>
  <c r="AD93" s="1"/>
  <c r="AD26" i="14"/>
  <c r="O111" i="31"/>
  <c r="O112" s="1"/>
  <c r="AB60"/>
  <c r="AD64" s="1"/>
  <c r="AD59"/>
  <c r="AD14"/>
  <c r="AD15" s="1"/>
  <c r="AD27" s="1"/>
  <c r="O111" i="29"/>
  <c r="O112" s="1"/>
  <c r="AB60"/>
  <c r="AD64" s="1"/>
  <c r="AD59"/>
  <c r="AD14"/>
  <c r="AD15" s="1"/>
  <c r="Z67" i="13"/>
  <c r="AB81" s="1"/>
  <c r="AB26"/>
  <c r="O111" i="27"/>
  <c r="O112" s="1"/>
  <c r="AB60"/>
  <c r="AD64" s="1"/>
  <c r="AD59"/>
  <c r="AD14"/>
  <c r="AD15" s="1"/>
  <c r="AD59" i="26"/>
  <c r="AD14"/>
  <c r="AD15" s="1"/>
  <c r="O111"/>
  <c r="O112" s="1"/>
  <c r="AB60"/>
  <c r="AD64" s="1"/>
  <c r="O111" i="24"/>
  <c r="O112" s="1"/>
  <c r="AB60"/>
  <c r="AD64" s="1"/>
  <c r="AD59"/>
  <c r="AD14"/>
  <c r="AD15" s="1"/>
  <c r="AD27" s="1"/>
  <c r="O111" i="21"/>
  <c r="O112" s="1"/>
  <c r="AB60"/>
  <c r="AD64" s="1"/>
  <c r="AD59"/>
  <c r="AD14"/>
  <c r="AD15" s="1"/>
  <c r="O111" i="17"/>
  <c r="O112" s="1"/>
  <c r="AB60"/>
  <c r="AD64" s="1"/>
  <c r="AD59"/>
  <c r="AD14"/>
  <c r="AD15" s="1"/>
  <c r="O109" i="16"/>
  <c r="Q104"/>
  <c r="AD58"/>
  <c r="AD13"/>
  <c r="O109" i="15"/>
  <c r="Q104"/>
  <c r="AD58"/>
  <c r="AD13"/>
  <c r="O111" i="14"/>
  <c r="O112" s="1"/>
  <c r="AB60"/>
  <c r="AD64" s="1"/>
  <c r="AD14"/>
  <c r="AD15" s="1"/>
  <c r="O109" i="13"/>
  <c r="Q104"/>
  <c r="AD58"/>
  <c r="AD13"/>
  <c r="G14" i="9"/>
  <c r="O32" i="1"/>
  <c r="M76" s="1"/>
  <c r="Q104" i="23" l="1"/>
  <c r="O109"/>
  <c r="AD13" i="28"/>
  <c r="AD58"/>
  <c r="Q104" i="20"/>
  <c r="O109"/>
  <c r="AD13" i="19"/>
  <c r="AD58"/>
  <c r="AD13" i="30"/>
  <c r="AD58"/>
  <c r="AD13" i="23"/>
  <c r="AD58"/>
  <c r="Q104" i="28"/>
  <c r="O109"/>
  <c r="AD13" i="20"/>
  <c r="AD58"/>
  <c r="Q104" i="19"/>
  <c r="O109"/>
  <c r="Q104" i="30"/>
  <c r="O109"/>
  <c r="O109" i="18"/>
  <c r="Q104"/>
  <c r="AD58"/>
  <c r="AD13"/>
  <c r="Q104" i="25"/>
  <c r="O109"/>
  <c r="AD13"/>
  <c r="AD58"/>
  <c r="AD58" i="22"/>
  <c r="AD13"/>
  <c r="O109"/>
  <c r="Q104"/>
  <c r="AD39" i="31"/>
  <c r="AD40" s="1"/>
  <c r="AD41" s="1"/>
  <c r="AD42" s="1"/>
  <c r="AD27" i="29"/>
  <c r="AD39" s="1"/>
  <c r="AD40" s="1"/>
  <c r="AD27" i="27"/>
  <c r="AD39" s="1"/>
  <c r="AD40" s="1"/>
  <c r="AD27" i="26"/>
  <c r="AD39" s="1"/>
  <c r="AD40" s="1"/>
  <c r="AD39" i="24"/>
  <c r="AD40" s="1"/>
  <c r="AD95" s="1"/>
  <c r="AD27" i="21"/>
  <c r="AD39" s="1"/>
  <c r="AD40" s="1"/>
  <c r="AD27" i="17"/>
  <c r="AD39" s="1"/>
  <c r="AD40" s="1"/>
  <c r="AD27" i="14"/>
  <c r="AD39" s="1"/>
  <c r="AD40" s="1"/>
  <c r="AD81"/>
  <c r="AD93" s="1"/>
  <c r="AD81" i="20"/>
  <c r="AD93" s="1"/>
  <c r="AD26" i="13"/>
  <c r="O111" i="16"/>
  <c r="O112" s="1"/>
  <c r="AB60"/>
  <c r="AD64" s="1"/>
  <c r="AD59"/>
  <c r="AD14"/>
  <c r="AD15" s="1"/>
  <c r="O111" i="15"/>
  <c r="O112" s="1"/>
  <c r="AB60"/>
  <c r="AD64" s="1"/>
  <c r="AD59"/>
  <c r="AD14"/>
  <c r="AD15" s="1"/>
  <c r="O111" i="13"/>
  <c r="O112" s="1"/>
  <c r="AB60"/>
  <c r="AD64" s="1"/>
  <c r="AD59"/>
  <c r="AD14"/>
  <c r="AD15" s="1"/>
  <c r="J14" i="9"/>
  <c r="O33" i="1"/>
  <c r="N76" s="1"/>
  <c r="AD14" i="20" l="1"/>
  <c r="AD15" s="1"/>
  <c r="AD27" s="1"/>
  <c r="AD39" s="1"/>
  <c r="AD40" s="1"/>
  <c r="AD59"/>
  <c r="AD14" i="23"/>
  <c r="AD15" s="1"/>
  <c r="AD27" s="1"/>
  <c r="AD39" s="1"/>
  <c r="AD40" s="1"/>
  <c r="AD59"/>
  <c r="AD14" i="30"/>
  <c r="AD15" s="1"/>
  <c r="AD27" s="1"/>
  <c r="AD39" s="1"/>
  <c r="AD40" s="1"/>
  <c r="AD59"/>
  <c r="AD14" i="19"/>
  <c r="AD15" s="1"/>
  <c r="AD27" s="1"/>
  <c r="AD39" s="1"/>
  <c r="AD40" s="1"/>
  <c r="AD59"/>
  <c r="AD14" i="28"/>
  <c r="AD15" s="1"/>
  <c r="AD27" s="1"/>
  <c r="AD39" s="1"/>
  <c r="AD40" s="1"/>
  <c r="AD41" s="1"/>
  <c r="AD42" s="1"/>
  <c r="AD59"/>
  <c r="AB60" i="30"/>
  <c r="AD64" s="1"/>
  <c r="O111"/>
  <c r="O112" s="1"/>
  <c r="AB60" i="19"/>
  <c r="AD64" s="1"/>
  <c r="O111"/>
  <c r="O112" s="1"/>
  <c r="AB60" i="28"/>
  <c r="AD64" s="1"/>
  <c r="O111"/>
  <c r="O112" s="1"/>
  <c r="AB60" i="20"/>
  <c r="AD64" s="1"/>
  <c r="O111"/>
  <c r="O112" s="1"/>
  <c r="AB60" i="23"/>
  <c r="AD64" s="1"/>
  <c r="O111"/>
  <c r="O112" s="1"/>
  <c r="AB60" i="18"/>
  <c r="AD64" s="1"/>
  <c r="O111"/>
  <c r="O112" s="1"/>
  <c r="AD14"/>
  <c r="AD15" s="1"/>
  <c r="AD27" s="1"/>
  <c r="AD39" s="1"/>
  <c r="AD40" s="1"/>
  <c r="AD41" s="1"/>
  <c r="AD42" s="1"/>
  <c r="AD96" s="1"/>
  <c r="AD59"/>
  <c r="AD95" i="31"/>
  <c r="AD41" i="24"/>
  <c r="AD42" s="1"/>
  <c r="AD96" s="1"/>
  <c r="AD59" i="25"/>
  <c r="AD14"/>
  <c r="AD15" s="1"/>
  <c r="AD27" s="1"/>
  <c r="AD39" s="1"/>
  <c r="AD40" s="1"/>
  <c r="AD95" s="1"/>
  <c r="O111"/>
  <c r="O112" s="1"/>
  <c r="AB60"/>
  <c r="AD64" s="1"/>
  <c r="O111" i="22"/>
  <c r="O112" s="1"/>
  <c r="AB60"/>
  <c r="AD64" s="1"/>
  <c r="AD59"/>
  <c r="AD14"/>
  <c r="AD15" s="1"/>
  <c r="AD27" s="1"/>
  <c r="AD39" s="1"/>
  <c r="AD40" s="1"/>
  <c r="AD41" s="1"/>
  <c r="AD42" s="1"/>
  <c r="AA43" s="1"/>
  <c r="AD95" i="28"/>
  <c r="AD95" i="27"/>
  <c r="AD41"/>
  <c r="AD42" s="1"/>
  <c r="AA43" s="1"/>
  <c r="AD95" i="20"/>
  <c r="AD41"/>
  <c r="AD42" s="1"/>
  <c r="AD96" s="1"/>
  <c r="AD41" i="17"/>
  <c r="AD42" s="1"/>
  <c r="AD96" s="1"/>
  <c r="AD95"/>
  <c r="AD95" i="30"/>
  <c r="AD41"/>
  <c r="AD42" s="1"/>
  <c r="AD96" s="1"/>
  <c r="AD41" i="29"/>
  <c r="AD42" s="1"/>
  <c r="AD96" s="1"/>
  <c r="AD95"/>
  <c r="AD41" i="26"/>
  <c r="AD42" s="1"/>
  <c r="AA43" s="1"/>
  <c r="AD95"/>
  <c r="AD95" i="23"/>
  <c r="AD41"/>
  <c r="AD42" s="1"/>
  <c r="AD96" s="1"/>
  <c r="AD95" i="21"/>
  <c r="AD41"/>
  <c r="AD42" s="1"/>
  <c r="AA43" s="1"/>
  <c r="AD41" i="19"/>
  <c r="AD42" s="1"/>
  <c r="AD96" s="1"/>
  <c r="AD95"/>
  <c r="AD27" i="16"/>
  <c r="AD39" s="1"/>
  <c r="AD40" s="1"/>
  <c r="AD27" i="15"/>
  <c r="AD39" s="1"/>
  <c r="AD40" s="1"/>
  <c r="AD41" i="14"/>
  <c r="AD42" s="1"/>
  <c r="AA43" s="1"/>
  <c r="AD95"/>
  <c r="AD27" i="13"/>
  <c r="AD39" s="1"/>
  <c r="AD40" s="1"/>
  <c r="AD81"/>
  <c r="AD93" s="1"/>
  <c r="AA43" i="31"/>
  <c r="AD96"/>
  <c r="U43"/>
  <c r="AD43" s="1"/>
  <c r="AD97" s="1"/>
  <c r="AA43" i="28"/>
  <c r="AD96"/>
  <c r="U43"/>
  <c r="AD43" s="1"/>
  <c r="AD97" s="1"/>
  <c r="Y49" i="1"/>
  <c r="M14" i="9"/>
  <c r="P14" s="1"/>
  <c r="M14" i="3" s="1"/>
  <c r="O34" i="1"/>
  <c r="O76" s="1"/>
  <c r="N71"/>
  <c r="P71" s="1"/>
  <c r="AA43" i="20" l="1"/>
  <c r="AD95" i="18"/>
  <c r="U43"/>
  <c r="AA43"/>
  <c r="AA43" i="29"/>
  <c r="AA43" i="30"/>
  <c r="AD96" i="27"/>
  <c r="AD41" i="25"/>
  <c r="AD42" s="1"/>
  <c r="AA43" s="1"/>
  <c r="AA43" i="24"/>
  <c r="U43"/>
  <c r="U43" i="23"/>
  <c r="AD95" i="22"/>
  <c r="U43" i="20"/>
  <c r="AD43" s="1"/>
  <c r="U43" i="19"/>
  <c r="AA43"/>
  <c r="AA43" i="17"/>
  <c r="U43" i="29"/>
  <c r="AD43" s="1"/>
  <c r="AA43" i="23"/>
  <c r="AD96" i="21"/>
  <c r="U43" i="27"/>
  <c r="AD43" s="1"/>
  <c r="AD97" s="1"/>
  <c r="U43" i="30"/>
  <c r="AD43" i="19"/>
  <c r="AD97" s="1"/>
  <c r="U43" i="17"/>
  <c r="AD96" i="14"/>
  <c r="U43"/>
  <c r="AD43" s="1"/>
  <c r="AD97" s="1"/>
  <c r="AD96" i="26"/>
  <c r="U43"/>
  <c r="AD43" s="1"/>
  <c r="AD97" s="1"/>
  <c r="AD96" i="22"/>
  <c r="U43"/>
  <c r="AD43" s="1"/>
  <c r="AD97" s="1"/>
  <c r="U43" i="21"/>
  <c r="AD43" s="1"/>
  <c r="AD97" s="1"/>
  <c r="AD95" i="16"/>
  <c r="AD41"/>
  <c r="AD42" s="1"/>
  <c r="AD96" s="1"/>
  <c r="AD41" i="15"/>
  <c r="AD42" s="1"/>
  <c r="AD96" s="1"/>
  <c r="AD95"/>
  <c r="AD41" i="13"/>
  <c r="AD42" s="1"/>
  <c r="AD96" s="1"/>
  <c r="AD95"/>
  <c r="AD44" i="31"/>
  <c r="AD46" s="1"/>
  <c r="AD44" i="28"/>
  <c r="AD46" s="1"/>
  <c r="G14" i="11"/>
  <c r="O35" i="1"/>
  <c r="P76" s="1"/>
  <c r="AD44" i="19" l="1"/>
  <c r="AD46" s="1"/>
  <c r="AD43" i="23"/>
  <c r="AD97" s="1"/>
  <c r="AD43" i="18"/>
  <c r="AD43" i="30"/>
  <c r="AD44" i="26"/>
  <c r="AD46" s="1"/>
  <c r="AD98" s="1"/>
  <c r="AD96" i="25"/>
  <c r="U43"/>
  <c r="AD43" s="1"/>
  <c r="AD97" s="1"/>
  <c r="AD43" i="24"/>
  <c r="AD97" s="1"/>
  <c r="AD97" i="20"/>
  <c r="AD44"/>
  <c r="AD46" s="1"/>
  <c r="AD43" i="17"/>
  <c r="AD97" s="1"/>
  <c r="AD97" i="29"/>
  <c r="AD44"/>
  <c r="AD46" s="1"/>
  <c r="AD98" s="1"/>
  <c r="AD44" i="23"/>
  <c r="AD46" s="1"/>
  <c r="AD98" s="1"/>
  <c r="AD44" i="22"/>
  <c r="AD46" s="1"/>
  <c r="AD98" s="1"/>
  <c r="AD44" i="27"/>
  <c r="AD46" s="1"/>
  <c r="AD100" s="1"/>
  <c r="Z104" s="1"/>
  <c r="T105" s="1"/>
  <c r="AD44" i="25"/>
  <c r="AD46" s="1"/>
  <c r="AD98" s="1"/>
  <c r="AD44" i="21"/>
  <c r="AD46" s="1"/>
  <c r="U43" i="16"/>
  <c r="AA43"/>
  <c r="U43" i="15"/>
  <c r="AA43"/>
  <c r="U43" i="13"/>
  <c r="AA43"/>
  <c r="AD100" i="31"/>
  <c r="Z104" s="1"/>
  <c r="T105" s="1"/>
  <c r="AD98"/>
  <c r="AD51"/>
  <c r="AD52"/>
  <c r="AD100" i="29"/>
  <c r="Z104" s="1"/>
  <c r="T105" s="1"/>
  <c r="AD51"/>
  <c r="AD52"/>
  <c r="AD100" i="28"/>
  <c r="Z104" s="1"/>
  <c r="T105" s="1"/>
  <c r="AD98"/>
  <c r="AD51"/>
  <c r="AD52"/>
  <c r="AD98" i="27"/>
  <c r="AD52"/>
  <c r="AD100" i="26"/>
  <c r="Z104" s="1"/>
  <c r="T105" s="1"/>
  <c r="AD51"/>
  <c r="AD52"/>
  <c r="AD100" i="25"/>
  <c r="Z104" s="1"/>
  <c r="T105" s="1"/>
  <c r="AD100" i="23"/>
  <c r="Z104" s="1"/>
  <c r="T105" s="1"/>
  <c r="AD51"/>
  <c r="AD100" i="22"/>
  <c r="Z104" s="1"/>
  <c r="T105" s="1"/>
  <c r="AD51"/>
  <c r="AD52"/>
  <c r="AD100" i="21"/>
  <c r="Z104" s="1"/>
  <c r="T105" s="1"/>
  <c r="AD98"/>
  <c r="AD51"/>
  <c r="AD52"/>
  <c r="AD100" i="20"/>
  <c r="Z104" s="1"/>
  <c r="T105" s="1"/>
  <c r="AD98"/>
  <c r="AD51"/>
  <c r="AD52"/>
  <c r="AD100" i="19"/>
  <c r="Z104" s="1"/>
  <c r="T105" s="1"/>
  <c r="AD98"/>
  <c r="AD51"/>
  <c r="AD52"/>
  <c r="AD43" i="16"/>
  <c r="AD97" s="1"/>
  <c r="AD44" i="14"/>
  <c r="AD46" s="1"/>
  <c r="AD100" s="1"/>
  <c r="Z104" s="1"/>
  <c r="T105" s="1"/>
  <c r="J14" i="11"/>
  <c r="O36" i="1"/>
  <c r="Q76" s="1"/>
  <c r="I21"/>
  <c r="AB49" l="1"/>
  <c r="AD50" s="1"/>
  <c r="AD51" i="27"/>
  <c r="AD52" i="25"/>
  <c r="AD43" i="15"/>
  <c r="AD97" s="1"/>
  <c r="AD44" i="24"/>
  <c r="AD46" s="1"/>
  <c r="AD97" i="18"/>
  <c r="AD44"/>
  <c r="AD46" s="1"/>
  <c r="AD43" i="13"/>
  <c r="AD97" s="1"/>
  <c r="AD97" i="30"/>
  <c r="AD44"/>
  <c r="AD46" s="1"/>
  <c r="AD51" i="25"/>
  <c r="AD52" i="23"/>
  <c r="AD44" i="17"/>
  <c r="AD46" s="1"/>
  <c r="AD44" i="16"/>
  <c r="AD46" s="1"/>
  <c r="AD100" s="1"/>
  <c r="Z104" s="1"/>
  <c r="T105" s="1"/>
  <c r="AD52" i="14"/>
  <c r="AD98"/>
  <c r="AD51"/>
  <c r="O37" i="1"/>
  <c r="M14" i="11"/>
  <c r="P14" s="1"/>
  <c r="P14" i="3" s="1"/>
  <c r="S14" s="1"/>
  <c r="N72" i="1"/>
  <c r="AD44" i="15" l="1"/>
  <c r="AD46" s="1"/>
  <c r="AD100" s="1"/>
  <c r="Z104" s="1"/>
  <c r="T105" s="1"/>
  <c r="AD98" i="24"/>
  <c r="AD52"/>
  <c r="AD51"/>
  <c r="AD100"/>
  <c r="Z104" s="1"/>
  <c r="T105" s="1"/>
  <c r="AD98" i="18"/>
  <c r="AD52"/>
  <c r="AD51"/>
  <c r="AD100"/>
  <c r="Z104" s="1"/>
  <c r="T105" s="1"/>
  <c r="AD44" i="13"/>
  <c r="AD46" s="1"/>
  <c r="AD100" s="1"/>
  <c r="Z104" s="1"/>
  <c r="T105" s="1"/>
  <c r="AD100" i="30"/>
  <c r="Z104" s="1"/>
  <c r="T105" s="1"/>
  <c r="AD51"/>
  <c r="AD98"/>
  <c r="AD52"/>
  <c r="AD100" i="17"/>
  <c r="Z104" s="1"/>
  <c r="T105" s="1"/>
  <c r="AD51"/>
  <c r="AD98"/>
  <c r="AD52"/>
  <c r="AD52" i="16"/>
  <c r="AD98"/>
  <c r="AD51"/>
  <c r="AD98" i="15"/>
  <c r="AD51"/>
  <c r="AD98" i="13"/>
  <c r="AD51"/>
  <c r="N73" i="1"/>
  <c r="P72"/>
  <c r="P73" s="1"/>
  <c r="L91" s="1"/>
  <c r="B92" s="1"/>
  <c r="D10"/>
  <c r="F10"/>
  <c r="AD52" i="15" l="1"/>
  <c r="AD52" i="13"/>
  <c r="Q10" i="1"/>
  <c r="E10"/>
  <c r="C26" s="1"/>
  <c r="F26" s="1"/>
  <c r="Q26" s="1"/>
  <c r="D11"/>
  <c r="F11"/>
  <c r="Q11" l="1"/>
  <c r="E11"/>
  <c r="C27" s="1"/>
  <c r="F27" s="1"/>
  <c r="Q27" s="1"/>
  <c r="H14" i="2"/>
  <c r="D12" i="1"/>
  <c r="E12" s="1"/>
  <c r="C28" s="1"/>
  <c r="C13"/>
  <c r="F12"/>
  <c r="Q12" l="1"/>
  <c r="D13"/>
  <c r="F28"/>
  <c r="Q28" s="1"/>
  <c r="J69"/>
  <c r="K14" i="2"/>
  <c r="N14" s="1"/>
  <c r="E14" i="3" s="1"/>
  <c r="F13" i="1"/>
  <c r="C14"/>
  <c r="Q13" l="1"/>
  <c r="K14"/>
  <c r="K21" s="1"/>
  <c r="E13"/>
  <c r="C29" s="1"/>
  <c r="F29" s="1"/>
  <c r="Q29" s="1"/>
  <c r="E14" i="7"/>
  <c r="D14" i="1"/>
  <c r="E14" s="1"/>
  <c r="C30" s="1"/>
  <c r="H14" i="7"/>
  <c r="J21" i="1"/>
  <c r="F14"/>
  <c r="C15"/>
  <c r="D30" l="1"/>
  <c r="F30" s="1"/>
  <c r="Q30" s="1"/>
  <c r="Q14"/>
  <c r="K14" i="7" s="1"/>
  <c r="N14" s="1"/>
  <c r="H14" i="3" s="1"/>
  <c r="D15" i="1"/>
  <c r="F15"/>
  <c r="C16"/>
  <c r="D37" l="1"/>
  <c r="Q15"/>
  <c r="E15"/>
  <c r="C31" s="1"/>
  <c r="F31" s="1"/>
  <c r="Q31" s="1"/>
  <c r="J70"/>
  <c r="D16"/>
  <c r="E16" s="1"/>
  <c r="C32" s="1"/>
  <c r="E14" i="9"/>
  <c r="F16" i="1"/>
  <c r="C17"/>
  <c r="Q16" l="1"/>
  <c r="D17"/>
  <c r="E17" s="1"/>
  <c r="C33" s="1"/>
  <c r="F33" s="1"/>
  <c r="Q33" s="1"/>
  <c r="H14" i="9"/>
  <c r="F32" i="1"/>
  <c r="Q32" s="1"/>
  <c r="F17"/>
  <c r="C18"/>
  <c r="Q17" l="1"/>
  <c r="D18"/>
  <c r="E18" s="1"/>
  <c r="C34" s="1"/>
  <c r="K14" i="9"/>
  <c r="N14" s="1"/>
  <c r="K14" i="3" s="1"/>
  <c r="F34" i="1"/>
  <c r="Q34" s="1"/>
  <c r="J71"/>
  <c r="F18"/>
  <c r="C19"/>
  <c r="Q18" l="1"/>
  <c r="D19"/>
  <c r="E19" s="1"/>
  <c r="C35" s="1"/>
  <c r="F35" s="1"/>
  <c r="Q35" s="1"/>
  <c r="E14" i="11"/>
  <c r="F19" i="1"/>
  <c r="C20"/>
  <c r="Q19" l="1"/>
  <c r="H14" i="11" s="1"/>
  <c r="D20" i="1"/>
  <c r="F20"/>
  <c r="C21"/>
  <c r="M108" l="1"/>
  <c r="F21"/>
  <c r="D21"/>
  <c r="Q20"/>
  <c r="E20"/>
  <c r="E21" l="1"/>
  <c r="P46" s="1"/>
  <c r="AD25" s="1"/>
  <c r="C36"/>
  <c r="K14" i="11"/>
  <c r="N14" s="1"/>
  <c r="N14" i="3" s="1"/>
  <c r="Q14" s="1"/>
  <c r="Q21" i="1"/>
  <c r="W5"/>
  <c r="J72"/>
  <c r="J73" s="1"/>
  <c r="F36" l="1"/>
  <c r="Q36" s="1"/>
  <c r="Q37" s="1"/>
  <c r="J38" s="1"/>
  <c r="C37"/>
  <c r="F37" s="1"/>
  <c r="V17" s="1"/>
  <c r="Z67" s="1"/>
  <c r="C38"/>
  <c r="Z81"/>
  <c r="AB5"/>
  <c r="AB27" s="1"/>
  <c r="P38" l="1"/>
  <c r="AB26"/>
  <c r="AB81"/>
  <c r="AD26"/>
  <c r="AD81" s="1"/>
  <c r="AD93" s="1"/>
  <c r="AD5"/>
  <c r="AD6" s="1"/>
  <c r="AD7" s="1"/>
  <c r="AD8" s="1"/>
  <c r="AD9" s="1"/>
  <c r="M101" l="1"/>
  <c r="O104" s="1"/>
  <c r="AD11"/>
  <c r="O109" l="1"/>
  <c r="AB60" s="1"/>
  <c r="AD64" s="1"/>
  <c r="Q104"/>
  <c r="AD13"/>
  <c r="AD59" s="1"/>
  <c r="AD58"/>
  <c r="O111" l="1"/>
  <c r="O112" s="1"/>
  <c r="AD14"/>
  <c r="AD15" s="1"/>
  <c r="AD27" l="1"/>
  <c r="AD39" s="1"/>
  <c r="AD40" s="1"/>
  <c r="AD41" l="1"/>
  <c r="AD42" s="1"/>
  <c r="AD95"/>
  <c r="AD96" l="1"/>
  <c r="AA43"/>
  <c r="U43"/>
  <c r="AD43" l="1"/>
  <c r="AD44" s="1"/>
  <c r="AD46" s="1"/>
  <c r="AD52" s="1"/>
  <c r="AD100" l="1"/>
  <c r="Z104" s="1"/>
  <c r="T105" s="1"/>
  <c r="AD97"/>
  <c r="AD51"/>
  <c r="AD98"/>
</calcChain>
</file>

<file path=xl/sharedStrings.xml><?xml version="1.0" encoding="utf-8"?>
<sst xmlns="http://schemas.openxmlformats.org/spreadsheetml/2006/main" count="6800" uniqueCount="620">
  <si>
    <t>osru ,oa HkRrs</t>
  </si>
  <si>
    <t>RPMF</t>
  </si>
  <si>
    <t>;ksx dVkSfr;k¡</t>
  </si>
  <si>
    <t xml:space="preserve">loZ ;ksx </t>
  </si>
  <si>
    <t>cksul</t>
  </si>
  <si>
    <t>ekg</t>
  </si>
  <si>
    <t xml:space="preserve">Financial Year :- </t>
  </si>
  <si>
    <t>Assessment Year :-</t>
  </si>
  <si>
    <t>Designation :-</t>
  </si>
  <si>
    <t>Employee Name :-</t>
  </si>
  <si>
    <t>TOTAL</t>
  </si>
  <si>
    <t>I</t>
  </si>
  <si>
    <t>dqy osru</t>
  </si>
  <si>
    <t>dqy dVkSfr;k¡</t>
  </si>
  <si>
    <t>osru ls dVkSfr;k¡</t>
  </si>
  <si>
    <t>dqy Hkqxrku jkf'k</t>
  </si>
  <si>
    <r>
      <t xml:space="preserve">v/;k; </t>
    </r>
    <r>
      <rPr>
        <sz val="14"/>
        <color theme="1"/>
        <rFont val="Calibri"/>
        <family val="2"/>
        <scheme val="minor"/>
      </rPr>
      <t>VI A</t>
    </r>
    <r>
      <rPr>
        <sz val="14"/>
        <color theme="1"/>
        <rFont val="DevLys 010"/>
      </rPr>
      <t xml:space="preserve"> ds vUrxZr vU; dVkSfr;ka</t>
    </r>
  </si>
  <si>
    <t>vk;dj x.kuk i= ys[kk o"kZ 2016&amp;2017 dj fu/kkZj.k o"kZ 2017&amp;2018</t>
  </si>
  <si>
    <r>
      <t xml:space="preserve">(2) </t>
    </r>
    <r>
      <rPr>
        <sz val="14"/>
        <color theme="1"/>
        <rFont val="DevLys 010"/>
      </rPr>
      <t>izkIr fdjk;k</t>
    </r>
  </si>
  <si>
    <r>
      <t xml:space="preserve">3. </t>
    </r>
    <r>
      <rPr>
        <sz val="14"/>
        <color theme="1"/>
        <rFont val="DevLys 010"/>
      </rPr>
      <t>vU; lzksrksa ls vk;</t>
    </r>
  </si>
  <si>
    <t>ldy dqy vk;</t>
  </si>
  <si>
    <r>
      <t xml:space="preserve">(1) </t>
    </r>
    <r>
      <rPr>
        <sz val="14"/>
        <color theme="1"/>
        <rFont val="DevLys 010"/>
      </rPr>
      <t>x`gdj</t>
    </r>
  </si>
  <si>
    <r>
      <t xml:space="preserve">(2) </t>
    </r>
    <r>
      <rPr>
        <sz val="14"/>
        <color theme="1"/>
        <rFont val="DevLys 010"/>
      </rPr>
      <t>ejEer</t>
    </r>
  </si>
  <si>
    <r>
      <t xml:space="preserve">(3) </t>
    </r>
    <r>
      <rPr>
        <sz val="14"/>
        <color theme="1"/>
        <rFont val="DevLys 010"/>
      </rPr>
      <t>_.k ij C;kt</t>
    </r>
  </si>
  <si>
    <r>
      <t xml:space="preserve">(4) </t>
    </r>
    <r>
      <rPr>
        <sz val="14"/>
        <color theme="1"/>
        <rFont val="DevLys 010"/>
      </rPr>
      <t>;ksx 1 ls 3</t>
    </r>
  </si>
  <si>
    <t>(b) Section 80CCC</t>
  </si>
  <si>
    <t>(c) Section 80CCD(1)</t>
  </si>
  <si>
    <r>
      <rPr>
        <sz val="14"/>
        <color theme="1"/>
        <rFont val="Calibri"/>
        <family val="2"/>
        <scheme val="minor"/>
      </rPr>
      <t xml:space="preserve">(B) </t>
    </r>
    <r>
      <rPr>
        <sz val="14"/>
        <color theme="1"/>
        <rFont val="DevLys 010"/>
      </rPr>
      <t xml:space="preserve">v/;k; </t>
    </r>
    <r>
      <rPr>
        <sz val="14"/>
        <color theme="1"/>
        <rFont val="Calibri"/>
        <family val="2"/>
        <scheme val="minor"/>
      </rPr>
      <t>VI A</t>
    </r>
    <r>
      <rPr>
        <sz val="14"/>
        <color theme="1"/>
        <rFont val="DevLys 010"/>
      </rPr>
      <t xml:space="preserve"> ds vUrxZr vU; dVkSfr;ka</t>
    </r>
    <r>
      <rPr>
        <sz val="14"/>
        <color theme="1"/>
        <rFont val="Calibri"/>
        <family val="2"/>
        <scheme val="minor"/>
      </rPr>
      <t xml:space="preserve">    </t>
    </r>
  </si>
  <si>
    <t>Certificate under Section 203 of the Income Tax, 1961 for tax deducted at source from income chargeable under the head "Salaries"</t>
  </si>
  <si>
    <t>Name and address of the Deductor</t>
  </si>
  <si>
    <t>Lecturer</t>
  </si>
  <si>
    <t>PAN No. of Deductor</t>
  </si>
  <si>
    <t>TAN No. of Dedector</t>
  </si>
  <si>
    <t>PAN No. of Employee</t>
  </si>
  <si>
    <t xml:space="preserve">Employee Mob. No. </t>
  </si>
  <si>
    <t>Income Tax Office Adress</t>
  </si>
  <si>
    <t>Receipt Numbers of original Quarterly Statements of TDS under Sub-Section (3) of Section 200</t>
  </si>
  <si>
    <t>Amount of Tax   deducted (Rs/-)</t>
  </si>
  <si>
    <t>1st  Quarter</t>
  </si>
  <si>
    <t>2nd  Quarter</t>
  </si>
  <si>
    <t>3rd  Quarter</t>
  </si>
  <si>
    <t>4th  Quarter</t>
  </si>
  <si>
    <t>Details of Tax Deducted and deposited in Central Government Account Through Challan</t>
  </si>
  <si>
    <t>S.N.</t>
  </si>
  <si>
    <t>Tax Deposited in Respect on of deductee (Rs/-)</t>
  </si>
  <si>
    <t>BSR Code of the bank Branch</t>
  </si>
  <si>
    <t>Date on which Tax Deposited (dd/mm/yyyy)</t>
  </si>
  <si>
    <t>challan Serial Number</t>
  </si>
  <si>
    <t>*** Verification ****</t>
  </si>
  <si>
    <t>Son/Daughter of</t>
  </si>
  <si>
    <t>working in the capacity of</t>
  </si>
  <si>
    <t xml:space="preserve">do hereby certify that a sum of Rs/- </t>
  </si>
  <si>
    <t>Total</t>
  </si>
  <si>
    <t>Signature &amp; seal of person responsible for deduction of of Tax</t>
  </si>
  <si>
    <t>Full name :-</t>
  </si>
  <si>
    <t>PART - B (Annexure)</t>
  </si>
  <si>
    <t>DETAILS OF SALARY PAID AND ANY OTHER INCOME AND TAX DEDUCTED</t>
  </si>
  <si>
    <t>1. Gross Salary</t>
  </si>
  <si>
    <t>(a) Salary as per provisions contained in section 17(1)</t>
  </si>
  <si>
    <t>(c) Profits in lieu of salary under section 17(3) (as per Form No. 12BA, wherever applicable)</t>
  </si>
  <si>
    <t xml:space="preserve">Allowane </t>
  </si>
  <si>
    <t>3. Balance  ( 1-2 )</t>
  </si>
  <si>
    <t>4. Deducations</t>
  </si>
  <si>
    <t xml:space="preserve">(a) Entertainment allowance </t>
  </si>
  <si>
    <t xml:space="preserve">income </t>
  </si>
  <si>
    <t>From House property</t>
  </si>
  <si>
    <t>(a) Section 80C</t>
  </si>
  <si>
    <t xml:space="preserve">(I) G P F </t>
  </si>
  <si>
    <t xml:space="preserve">(II) S I </t>
  </si>
  <si>
    <t>(III) LIC + ULIP+PLI</t>
  </si>
  <si>
    <t>(IV) Gr. Acc. Insurance</t>
  </si>
  <si>
    <t>(V) Home loan capital</t>
  </si>
  <si>
    <t>(VI) PPF</t>
  </si>
  <si>
    <t>(IX) NSC+Interest on NSC</t>
  </si>
  <si>
    <t>(X) Equity linked savings</t>
  </si>
  <si>
    <t>(XII) Fixed Deposit</t>
  </si>
  <si>
    <t>(XIII) Sukanya Samriddhi yojana</t>
  </si>
  <si>
    <t>(b) section 80CC</t>
  </si>
  <si>
    <t>(II) US 80D</t>
  </si>
  <si>
    <t>(III) US 80DD</t>
  </si>
  <si>
    <t>(IV) US 80DDB</t>
  </si>
  <si>
    <t>(IX) US 80U</t>
  </si>
  <si>
    <r>
      <t xml:space="preserve"> 'kq) dj ;ksX; vk; </t>
    </r>
    <r>
      <rPr>
        <sz val="14"/>
        <color theme="1"/>
        <rFont val="Calibri"/>
        <family val="2"/>
        <scheme val="minor"/>
      </rPr>
      <t>(</t>
    </r>
    <r>
      <rPr>
        <sz val="14"/>
        <color theme="1"/>
        <rFont val="Kruti Dev 010"/>
      </rPr>
      <t>iw.kkZd esa</t>
    </r>
    <r>
      <rPr>
        <sz val="14"/>
        <color theme="1"/>
        <rFont val="Calibri"/>
        <family val="2"/>
        <scheme val="minor"/>
      </rPr>
      <t>)</t>
    </r>
  </si>
  <si>
    <r>
      <t>f'k{kk midj 2</t>
    </r>
    <r>
      <rPr>
        <sz val="14"/>
        <color theme="1"/>
        <rFont val="Calibri"/>
        <family val="2"/>
        <scheme val="minor"/>
      </rPr>
      <t>%</t>
    </r>
  </si>
  <si>
    <r>
      <t>mPp f'k{kk midj 1</t>
    </r>
    <r>
      <rPr>
        <sz val="14"/>
        <color theme="1"/>
        <rFont val="Calibri"/>
        <family val="2"/>
        <scheme val="minor"/>
      </rPr>
      <t>%</t>
    </r>
  </si>
  <si>
    <t xml:space="preserve">dqy vk;dj </t>
  </si>
  <si>
    <t>REBATE US 89 (I)</t>
  </si>
  <si>
    <t xml:space="preserve">dqy dj ns;rk </t>
  </si>
  <si>
    <t>Rs/-</t>
  </si>
  <si>
    <t xml:space="preserve"> 'ks"k dj ns;rk </t>
  </si>
  <si>
    <t>(B) Deductions other sections under chapter VI A</t>
  </si>
  <si>
    <t>Amount</t>
  </si>
  <si>
    <t>Qualifying amount</t>
  </si>
  <si>
    <t>Deductible amount</t>
  </si>
  <si>
    <t>Gross Amount</t>
  </si>
  <si>
    <t>(I) LIC Deposite You</t>
  </si>
  <si>
    <t>(III) Home Loan Capital</t>
  </si>
  <si>
    <t>(IV) PPF</t>
  </si>
  <si>
    <t>(V) PLI</t>
  </si>
  <si>
    <t>(VI) Tution fee : 2 Childdren</t>
  </si>
  <si>
    <t>(VIII) Sukanya Samriddhi Yojana</t>
  </si>
  <si>
    <t>(IX) Fixed Deposid(FD 5 Year)</t>
  </si>
  <si>
    <t>(X) Equity Linked Saving Scame</t>
  </si>
  <si>
    <t>(XI) Deferred Annuity</t>
  </si>
  <si>
    <t>(XII) Notified Bond of NABARD</t>
  </si>
  <si>
    <t>(V) US 80E</t>
  </si>
  <si>
    <t xml:space="preserve">(VI) US 80G </t>
  </si>
  <si>
    <r>
      <t xml:space="preserve">v/;k; </t>
    </r>
    <r>
      <rPr>
        <sz val="14"/>
        <color theme="1"/>
        <rFont val="Calibri"/>
        <family val="2"/>
        <scheme val="minor"/>
      </rPr>
      <t>VI A</t>
    </r>
    <r>
      <rPr>
        <sz val="14"/>
        <color theme="1"/>
        <rFont val="DevLys 010"/>
      </rPr>
      <t xml:space="preserve"> ds vUrxZr  dVkSfr;ka    </t>
    </r>
    <r>
      <rPr>
        <b/>
        <sz val="14"/>
        <color theme="1"/>
        <rFont val="Calibri"/>
        <family val="2"/>
        <scheme val="minor"/>
      </rPr>
      <t>(a) Section 80c</t>
    </r>
  </si>
  <si>
    <t>2016-17</t>
  </si>
  <si>
    <t>1st Quarters</t>
  </si>
  <si>
    <t>2nd Quarters</t>
  </si>
  <si>
    <t>3rd Quarters</t>
  </si>
  <si>
    <t>4th Quarters</t>
  </si>
  <si>
    <t>Name of Deducter :-</t>
  </si>
  <si>
    <t>Father`s Name of Deducter :-</t>
  </si>
  <si>
    <t>SH. DHANA RAM</t>
  </si>
  <si>
    <t>Designation of Deducter :-</t>
  </si>
  <si>
    <t>PRINCIPAL</t>
  </si>
  <si>
    <t>ABXPJ6624R</t>
  </si>
  <si>
    <t>Office ID (DDO Code) :-</t>
  </si>
  <si>
    <t>JPRG04123A</t>
  </si>
  <si>
    <t>E-mail ID of Office :-</t>
  </si>
  <si>
    <t>Telephone of Office :-</t>
  </si>
  <si>
    <t>Mobile no. of Deducter :-</t>
  </si>
  <si>
    <t>Address :-</t>
  </si>
  <si>
    <t>(Area of Office Where Office Is Situated)</t>
  </si>
  <si>
    <t>Place :-</t>
  </si>
  <si>
    <t>Sujangarh</t>
  </si>
  <si>
    <t>District :-</t>
  </si>
  <si>
    <t>Churu</t>
  </si>
  <si>
    <t>State :-</t>
  </si>
  <si>
    <t>Rajasthan</t>
  </si>
  <si>
    <t>Pin Code :-</t>
  </si>
  <si>
    <t>01568220158</t>
  </si>
  <si>
    <t>Govt. PCB Sr. Sec. School, Sujangarh</t>
  </si>
  <si>
    <t>PAN No. :-</t>
  </si>
  <si>
    <t>AMCPS4395J</t>
  </si>
  <si>
    <t>Moble No. :-</t>
  </si>
  <si>
    <t xml:space="preserve">2. Less Allowance to tha exempt u/s 10 House  Rent Allowance </t>
  </si>
  <si>
    <t xml:space="preserve">(b) Tax on Employment </t>
  </si>
  <si>
    <t>(XI) Deferrd Annuity</t>
  </si>
  <si>
    <t>(VI) US 80G</t>
  </si>
  <si>
    <t>(XI) US 80 TTA</t>
  </si>
  <si>
    <t>Conveyance AllowanceUS10(14)</t>
  </si>
  <si>
    <r>
      <t xml:space="preserve">2. (a) (1) </t>
    </r>
    <r>
      <rPr>
        <sz val="14"/>
        <color theme="1"/>
        <rFont val="DevLys 010"/>
      </rPr>
      <t>v/;k;</t>
    </r>
    <r>
      <rPr>
        <sz val="14"/>
        <color theme="1"/>
        <rFont val="Calibri"/>
        <family val="2"/>
        <scheme val="minor"/>
      </rPr>
      <t xml:space="preserve"> IV C </t>
    </r>
    <r>
      <rPr>
        <sz val="14"/>
        <color theme="1"/>
        <rFont val="DevLys 010"/>
      </rPr>
      <t xml:space="preserve">ds vUrZxr vk; </t>
    </r>
    <r>
      <rPr>
        <sz val="14"/>
        <color theme="1"/>
        <rFont val="Calibri"/>
        <family val="2"/>
        <scheme val="minor"/>
      </rPr>
      <t xml:space="preserve"> (1) </t>
    </r>
    <r>
      <rPr>
        <sz val="14"/>
        <color theme="1"/>
        <rFont val="DevLys 010"/>
      </rPr>
      <t>Lo;a ds mi;ksx esa 'kwU;</t>
    </r>
  </si>
  <si>
    <t>(b)</t>
  </si>
  <si>
    <t>Less(b)</t>
  </si>
  <si>
    <r>
      <t xml:space="preserve">3. (a) </t>
    </r>
    <r>
      <rPr>
        <sz val="14"/>
        <color theme="1"/>
        <rFont val="DevLys 010"/>
      </rPr>
      <t xml:space="preserve">euksjatu HkRrk /kkjk </t>
    </r>
    <r>
      <rPr>
        <sz val="14"/>
        <color theme="1"/>
        <rFont val="Calibri"/>
        <family val="2"/>
        <scheme val="minor"/>
      </rPr>
      <t>16(ii)</t>
    </r>
  </si>
  <si>
    <r>
      <t xml:space="preserve">(b) </t>
    </r>
    <r>
      <rPr>
        <sz val="14"/>
        <color theme="1"/>
        <rFont val="DevLys 010"/>
      </rPr>
      <t xml:space="preserve">O;olk; dj  /kkjk </t>
    </r>
    <r>
      <rPr>
        <sz val="14"/>
        <color theme="1"/>
        <rFont val="Calibri"/>
        <family val="2"/>
        <scheme val="minor"/>
      </rPr>
      <t>16(iii)</t>
    </r>
  </si>
  <si>
    <r>
      <rPr>
        <sz val="14"/>
        <color theme="1"/>
        <rFont val="Calibri"/>
        <family val="2"/>
        <scheme val="minor"/>
      </rPr>
      <t xml:space="preserve">2. (a) </t>
    </r>
    <r>
      <rPr>
        <sz val="14"/>
        <color theme="1"/>
        <rFont val="DevLys 010"/>
      </rPr>
      <t>edku fdjk;k HkRrk</t>
    </r>
    <r>
      <rPr>
        <sz val="14"/>
        <color theme="1"/>
        <rFont val="Calibri"/>
        <family val="2"/>
        <scheme val="minor"/>
      </rPr>
      <t xml:space="preserve">(House Rent Allowance) US 10(13A)  </t>
    </r>
  </si>
  <si>
    <r>
      <t xml:space="preserve">3.(1) NSC </t>
    </r>
    <r>
      <rPr>
        <sz val="12"/>
        <color theme="1"/>
        <rFont val="DevLys 010"/>
      </rPr>
      <t>ij C;kt</t>
    </r>
  </si>
  <si>
    <r>
      <t xml:space="preserve">(2) FDR </t>
    </r>
    <r>
      <rPr>
        <sz val="12"/>
        <color theme="1"/>
        <rFont val="DevLys 010"/>
      </rPr>
      <t>ij C;kt</t>
    </r>
  </si>
  <si>
    <r>
      <t xml:space="preserve">(3) Bonds </t>
    </r>
    <r>
      <rPr>
        <sz val="12"/>
        <color theme="1"/>
        <rFont val="DevLys 010"/>
      </rPr>
      <t>ij C;kt</t>
    </r>
  </si>
  <si>
    <r>
      <t xml:space="preserve"> </t>
    </r>
    <r>
      <rPr>
        <sz val="14"/>
        <color theme="1"/>
        <rFont val="DevLys 010"/>
      </rPr>
      <t>;ksx 1 ls 4</t>
    </r>
  </si>
  <si>
    <r>
      <rPr>
        <sz val="14"/>
        <color theme="1"/>
        <rFont val="Calibri"/>
        <family val="2"/>
        <scheme val="minor"/>
      </rPr>
      <t xml:space="preserve">(4) </t>
    </r>
    <r>
      <rPr>
        <sz val="14"/>
        <color theme="1"/>
        <rFont val="DevLys 010"/>
      </rPr>
      <t>cpr [kkrs ij C;kt</t>
    </r>
  </si>
  <si>
    <r>
      <rPr>
        <sz val="14"/>
        <color theme="1"/>
        <rFont val="Calibri"/>
        <family val="2"/>
        <scheme val="minor"/>
      </rPr>
      <t xml:space="preserve">     (b)</t>
    </r>
    <r>
      <rPr>
        <sz val="14"/>
        <color theme="1"/>
        <rFont val="DevLys 010"/>
      </rPr>
      <t xml:space="preserve"> okgu]onhZ];k=k]nSfud]cky 'kS{kf.kd HkRrk </t>
    </r>
    <r>
      <rPr>
        <sz val="14"/>
        <color theme="1"/>
        <rFont val="DevLys 010"/>
      </rPr>
      <t xml:space="preserve"> &amp; </t>
    </r>
    <r>
      <rPr>
        <sz val="14"/>
        <color theme="1"/>
        <rFont val="Calibri"/>
        <family val="2"/>
        <scheme val="minor"/>
      </rPr>
      <t>US 10(14)</t>
    </r>
  </si>
  <si>
    <r>
      <rPr>
        <sz val="14"/>
        <color theme="1"/>
        <rFont val="Calibri"/>
        <family val="2"/>
        <scheme val="minor"/>
      </rPr>
      <t xml:space="preserve">(A) </t>
    </r>
    <r>
      <rPr>
        <sz val="14"/>
        <color theme="1"/>
        <rFont val="DevLys 010"/>
      </rPr>
      <t xml:space="preserve">v/;k; </t>
    </r>
    <r>
      <rPr>
        <sz val="14"/>
        <color theme="1"/>
        <rFont val="Calibri"/>
        <family val="2"/>
        <scheme val="minor"/>
      </rPr>
      <t>VI A</t>
    </r>
    <r>
      <rPr>
        <sz val="14"/>
        <color theme="1"/>
        <rFont val="DevLys 010"/>
      </rPr>
      <t xml:space="preserve"> ds vUrxZr  dVkSfr;ka</t>
    </r>
    <r>
      <rPr>
        <sz val="14"/>
        <color theme="1"/>
        <rFont val="Calibri"/>
        <family val="2"/>
        <scheme val="minor"/>
      </rPr>
      <t xml:space="preserve">  (80C,80CCC and 80CCD(1) Maximum Limit 150000.00)    </t>
    </r>
    <r>
      <rPr>
        <b/>
        <sz val="14"/>
        <color theme="1"/>
        <rFont val="Calibri"/>
        <family val="2"/>
        <scheme val="minor"/>
      </rPr>
      <t>(a)  Section 80C</t>
    </r>
  </si>
  <si>
    <t>(i) GPF</t>
  </si>
  <si>
    <t>(ii) SI</t>
  </si>
  <si>
    <r>
      <t xml:space="preserve">(iii) </t>
    </r>
    <r>
      <rPr>
        <sz val="14"/>
        <color theme="1"/>
        <rFont val="DevLys 010"/>
      </rPr>
      <t xml:space="preserve">osru ls </t>
    </r>
    <r>
      <rPr>
        <sz val="14"/>
        <color theme="1"/>
        <rFont val="Calibri"/>
        <family val="2"/>
        <scheme val="minor"/>
      </rPr>
      <t>LIC</t>
    </r>
  </si>
  <si>
    <t>(iv) Gr. Acc. Insurance</t>
  </si>
  <si>
    <t>(v) LIC Deposite You</t>
  </si>
  <si>
    <t>(vi) ULIP</t>
  </si>
  <si>
    <t>(vii) Home Loan Capital</t>
  </si>
  <si>
    <t>(viii) PPF</t>
  </si>
  <si>
    <t>(v) US80 E</t>
  </si>
  <si>
    <t>(ix) PLI</t>
  </si>
  <si>
    <t>(x) Tution fee : 2 Childdren</t>
  </si>
  <si>
    <t>(xi) NSC + Intrest on NSC</t>
  </si>
  <si>
    <t>(xii) Sukanya Samriddhi Yojana</t>
  </si>
  <si>
    <t>(xiii) Fixed Deposid(FD 5 Year)</t>
  </si>
  <si>
    <t>(xiv) Equity Linked Saving Scame</t>
  </si>
  <si>
    <t>(xv) Notified Bond of NABARD</t>
  </si>
  <si>
    <t>(xvi) Deferred Annuity</t>
  </si>
  <si>
    <r>
      <rPr>
        <b/>
        <sz val="12"/>
        <color theme="1"/>
        <rFont val="Calibri"/>
        <family val="2"/>
        <scheme val="minor"/>
      </rPr>
      <t>(b) Section 80CCC</t>
    </r>
    <r>
      <rPr>
        <sz val="9"/>
        <color theme="1"/>
        <rFont val="Calibri"/>
        <family val="2"/>
        <scheme val="minor"/>
      </rPr>
      <t xml:space="preserve"> (LIC </t>
    </r>
    <r>
      <rPr>
        <sz val="9"/>
        <color theme="1"/>
        <rFont val="DevLys 010"/>
      </rPr>
      <t xml:space="preserve">dh okf"kZd ;kstuk esa fd;k x;k va'knku </t>
    </r>
    <r>
      <rPr>
        <sz val="9"/>
        <color theme="1"/>
        <rFont val="Calibri"/>
        <family val="2"/>
        <scheme val="minor"/>
      </rPr>
      <t xml:space="preserve">max. 1.5 </t>
    </r>
    <r>
      <rPr>
        <sz val="9"/>
        <color theme="1"/>
        <rFont val="DevLys 010"/>
      </rPr>
      <t>yk[k rd</t>
    </r>
    <r>
      <rPr>
        <sz val="9"/>
        <color theme="1"/>
        <rFont val="Calibri"/>
        <family val="2"/>
        <scheme val="minor"/>
      </rPr>
      <t>)</t>
    </r>
  </si>
  <si>
    <r>
      <rPr>
        <b/>
        <sz val="12"/>
        <color theme="1"/>
        <rFont val="Calibri"/>
        <family val="2"/>
        <scheme val="minor"/>
      </rPr>
      <t>(c) Section 80CCD(1)</t>
    </r>
    <r>
      <rPr>
        <sz val="9"/>
        <color theme="1"/>
        <rFont val="Calibri"/>
        <family val="2"/>
        <scheme val="minor"/>
      </rPr>
      <t xml:space="preserve"> [NPS </t>
    </r>
    <r>
      <rPr>
        <sz val="9"/>
        <color theme="1"/>
        <rFont val="DevLys 010"/>
      </rPr>
      <t>esa</t>
    </r>
    <r>
      <rPr>
        <sz val="9"/>
        <color theme="1"/>
        <rFont val="Calibri"/>
        <family val="2"/>
        <scheme val="minor"/>
      </rPr>
      <t xml:space="preserve"> (BP+DA)</t>
    </r>
    <r>
      <rPr>
        <sz val="9"/>
        <color theme="1"/>
        <rFont val="DevLys 010"/>
      </rPr>
      <t xml:space="preserve"> dk </t>
    </r>
    <r>
      <rPr>
        <sz val="9"/>
        <color theme="1"/>
        <rFont val="Calibri"/>
        <family val="2"/>
        <scheme val="minor"/>
      </rPr>
      <t xml:space="preserve">10% - max. 1.5 </t>
    </r>
    <r>
      <rPr>
        <sz val="9"/>
        <color theme="1"/>
        <rFont val="DevLys 010"/>
      </rPr>
      <t>yk[k rd</t>
    </r>
    <r>
      <rPr>
        <sz val="9"/>
        <color theme="1"/>
        <rFont val="Calibri"/>
        <family val="2"/>
        <scheme val="minor"/>
      </rPr>
      <t>]</t>
    </r>
  </si>
  <si>
    <r>
      <t xml:space="preserve">(i) US 80 CCD(1B) Max. Rs. 50000/-[NPS </t>
    </r>
    <r>
      <rPr>
        <sz val="14"/>
        <color theme="1"/>
        <rFont val="DevLys 010"/>
      </rPr>
      <t>esa</t>
    </r>
    <r>
      <rPr>
        <sz val="14"/>
        <color theme="1"/>
        <rFont val="Calibri"/>
        <family val="2"/>
        <scheme val="minor"/>
      </rPr>
      <t xml:space="preserve"> (BP+DA) </t>
    </r>
    <r>
      <rPr>
        <sz val="14"/>
        <color theme="1"/>
        <rFont val="DevLys 010"/>
      </rPr>
      <t>ds</t>
    </r>
    <r>
      <rPr>
        <sz val="14"/>
        <color theme="1"/>
        <rFont val="Calibri"/>
        <family val="2"/>
        <scheme val="minor"/>
      </rPr>
      <t xml:space="preserve"> 10% </t>
    </r>
    <r>
      <rPr>
        <sz val="14"/>
        <color theme="1"/>
        <rFont val="DevLys 010"/>
      </rPr>
      <t>ds vfrfjDr va'knku</t>
    </r>
    <r>
      <rPr>
        <sz val="14"/>
        <color theme="1"/>
        <rFont val="Calibri"/>
        <family val="2"/>
        <scheme val="minor"/>
      </rPr>
      <t>]</t>
    </r>
  </si>
  <si>
    <t>(iv) US 80DDB ( max. Rs. 60000/-)</t>
  </si>
  <si>
    <t xml:space="preserve"> 'kq) dj ;ksX; vk; </t>
  </si>
  <si>
    <r>
      <t xml:space="preserve">v/;k; </t>
    </r>
    <r>
      <rPr>
        <sz val="14"/>
        <color theme="1"/>
        <rFont val="Calibri"/>
        <family val="2"/>
        <scheme val="minor"/>
      </rPr>
      <t>VI A</t>
    </r>
    <r>
      <rPr>
        <sz val="14"/>
        <color theme="1"/>
        <rFont val="Kruti Dev 010"/>
      </rPr>
      <t xml:space="preserve"> ds vUrZxr dqy dVkSfr;ka </t>
    </r>
    <r>
      <rPr>
        <sz val="14"/>
        <color theme="1"/>
        <rFont val="Calibri"/>
        <family val="2"/>
        <scheme val="minor"/>
      </rPr>
      <t>[ Total of (i) to ix) ]</t>
    </r>
  </si>
  <si>
    <t xml:space="preserve"> vk;dj </t>
  </si>
  <si>
    <r>
      <rPr>
        <sz val="14"/>
        <color theme="1"/>
        <rFont val="DevLys 010"/>
      </rPr>
      <t>dqy vk;dj NwV ds ckn vk;dj</t>
    </r>
    <r>
      <rPr>
        <sz val="14"/>
        <color theme="1"/>
        <rFont val="Calibri"/>
        <family val="2"/>
        <scheme val="minor"/>
      </rPr>
      <t xml:space="preserve"> (With US 87A Tax credit Max. Rs. 5000/-)</t>
    </r>
  </si>
  <si>
    <t>April to June</t>
  </si>
  <si>
    <t>July to September</t>
  </si>
  <si>
    <t>October to December</t>
  </si>
  <si>
    <t>January to March</t>
  </si>
  <si>
    <r>
      <t xml:space="preserve">dj fjQ.M </t>
    </r>
    <r>
      <rPr>
        <b/>
        <sz val="14"/>
        <color theme="1"/>
        <rFont val="Calibri"/>
        <family val="2"/>
        <scheme val="minor"/>
      </rPr>
      <t>( +/- )</t>
    </r>
  </si>
  <si>
    <t>(I) US 80CCD(1B)</t>
  </si>
  <si>
    <t>(VII) US 80GGA</t>
  </si>
  <si>
    <r>
      <t xml:space="preserve">(vii) US 80GGA ( </t>
    </r>
    <r>
      <rPr>
        <sz val="14"/>
        <color theme="1"/>
        <rFont val="Kruti Dev 010"/>
      </rPr>
      <t>vuqeksnu oS</t>
    </r>
    <r>
      <rPr>
        <sz val="14"/>
        <color theme="1"/>
        <rFont val="DevLys 010"/>
      </rPr>
      <t>K</t>
    </r>
    <r>
      <rPr>
        <sz val="14"/>
        <color theme="1"/>
        <rFont val="Kruti Dev 010"/>
      </rPr>
      <t>kfud]lkekftd]xkzeh.k fodkl gsrq fn;k x;k nku 100</t>
    </r>
    <r>
      <rPr>
        <sz val="12.45"/>
        <color theme="1"/>
        <rFont val="Kruti Dev 010"/>
      </rPr>
      <t xml:space="preserve"> </t>
    </r>
    <r>
      <rPr>
        <sz val="12.45"/>
        <color theme="1"/>
        <rFont val="Calibri"/>
        <family val="2"/>
        <scheme val="minor"/>
      </rPr>
      <t>% )</t>
    </r>
  </si>
  <si>
    <r>
      <rPr>
        <sz val="12"/>
        <color theme="1"/>
        <rFont val="Calibri"/>
        <family val="2"/>
        <scheme val="minor"/>
      </rPr>
      <t xml:space="preserve">     (b)</t>
    </r>
    <r>
      <rPr>
        <sz val="12"/>
        <color theme="1"/>
        <rFont val="DevLys 010"/>
      </rPr>
      <t xml:space="preserve"> okgu]onhZ];k=k]nSfud]cky 'kS{kf.kd HkRrk  &amp; </t>
    </r>
    <r>
      <rPr>
        <sz val="12"/>
        <color theme="1"/>
        <rFont val="Calibri"/>
        <family val="2"/>
        <scheme val="minor"/>
      </rPr>
      <t>US 10(14)</t>
    </r>
  </si>
  <si>
    <r>
      <t xml:space="preserve">3. </t>
    </r>
    <r>
      <rPr>
        <b/>
        <sz val="14"/>
        <color theme="1"/>
        <rFont val="DevLys 010"/>
      </rPr>
      <t>vU; lzksrksa ls vk;</t>
    </r>
  </si>
  <si>
    <r>
      <t xml:space="preserve">(b) </t>
    </r>
    <r>
      <rPr>
        <sz val="14"/>
        <color theme="1"/>
        <rFont val="DevLys 010"/>
      </rPr>
      <t xml:space="preserve">O;olk; dj  </t>
    </r>
  </si>
  <si>
    <r>
      <t xml:space="preserve">4(a) </t>
    </r>
    <r>
      <rPr>
        <sz val="14"/>
        <color theme="1"/>
        <rFont val="DevLys 010"/>
      </rPr>
      <t xml:space="preserve">euksjatu HkRrk </t>
    </r>
  </si>
  <si>
    <r>
      <t xml:space="preserve">5(a) </t>
    </r>
    <r>
      <rPr>
        <sz val="14"/>
        <color theme="1"/>
        <rFont val="DevLys 010"/>
      </rPr>
      <t>izkIr fdjk;k</t>
    </r>
  </si>
  <si>
    <r>
      <t xml:space="preserve">6(a) </t>
    </r>
    <r>
      <rPr>
        <sz val="14"/>
        <color theme="1"/>
        <rFont val="DevLys 010"/>
      </rPr>
      <t>x`gdj</t>
    </r>
  </si>
  <si>
    <r>
      <t xml:space="preserve">(b) </t>
    </r>
    <r>
      <rPr>
        <sz val="14"/>
        <color theme="1"/>
        <rFont val="DevLys 010"/>
      </rPr>
      <t>ejEer</t>
    </r>
  </si>
  <si>
    <r>
      <t xml:space="preserve">(c) </t>
    </r>
    <r>
      <rPr>
        <sz val="14"/>
        <color theme="1"/>
        <rFont val="DevLys 010"/>
      </rPr>
      <t>_.k ij C;kt</t>
    </r>
  </si>
  <si>
    <r>
      <rPr>
        <sz val="14"/>
        <color theme="1"/>
        <rFont val="Calibri"/>
        <family val="2"/>
        <scheme val="minor"/>
      </rPr>
      <t xml:space="preserve">(c) </t>
    </r>
    <r>
      <rPr>
        <sz val="14"/>
        <color theme="1"/>
        <rFont val="DevLys 010"/>
      </rPr>
      <t>cpr [kkrs ij C;kt</t>
    </r>
  </si>
  <si>
    <r>
      <t xml:space="preserve">3.(a) NSC </t>
    </r>
    <r>
      <rPr>
        <sz val="14"/>
        <color theme="1"/>
        <rFont val="DevLys 010"/>
      </rPr>
      <t>ij C;kt</t>
    </r>
  </si>
  <si>
    <r>
      <t xml:space="preserve">    (b) FDR </t>
    </r>
    <r>
      <rPr>
        <sz val="14"/>
        <color theme="1"/>
        <rFont val="DevLys 010"/>
      </rPr>
      <t>ij C;kt</t>
    </r>
  </si>
  <si>
    <r>
      <t xml:space="preserve">    (c) Bonds </t>
    </r>
    <r>
      <rPr>
        <sz val="14"/>
        <color theme="1"/>
        <rFont val="DevLys 010"/>
      </rPr>
      <t>ij C;kt</t>
    </r>
  </si>
  <si>
    <t>Govt. NPS Contribution</t>
  </si>
  <si>
    <r>
      <t xml:space="preserve">1. </t>
    </r>
    <r>
      <rPr>
        <b/>
        <sz val="14"/>
        <color theme="1"/>
        <rFont val="DevLys 010"/>
      </rPr>
      <t>osru en esa vk; ¼ HkRrksa lfgr ½</t>
    </r>
  </si>
  <si>
    <t>YES</t>
  </si>
  <si>
    <t>Date :- ……………………………………</t>
  </si>
  <si>
    <t>2017-18</t>
  </si>
  <si>
    <t>All Quarters ( 24Q &amp; 26Q)</t>
  </si>
  <si>
    <t>Sr. No.</t>
  </si>
  <si>
    <t>Name of the Employee`s</t>
  </si>
  <si>
    <t>BDRPP3136R</t>
  </si>
  <si>
    <t>LDC</t>
  </si>
  <si>
    <t>Sr. Teacher</t>
  </si>
  <si>
    <t>PAN of the Employee's</t>
  </si>
  <si>
    <t>Designation of the Employee's</t>
  </si>
  <si>
    <t>Date :-</t>
  </si>
  <si>
    <t>ewy osru</t>
  </si>
  <si>
    <t>eagxkbZ HkRrk</t>
  </si>
  <si>
    <t>edku fdjk;k</t>
  </si>
  <si>
    <t>dz- la-</t>
  </si>
  <si>
    <r>
      <t xml:space="preserve">DA  </t>
    </r>
    <r>
      <rPr>
        <sz val="14"/>
        <color theme="1"/>
        <rFont val="DevLys 010"/>
      </rPr>
      <t>,fj&amp;</t>
    </r>
    <r>
      <rPr>
        <sz val="14"/>
        <color theme="1"/>
        <rFont val="Calibri"/>
        <family val="2"/>
        <scheme val="minor"/>
      </rPr>
      <t>I</t>
    </r>
  </si>
  <si>
    <r>
      <t xml:space="preserve">DA  </t>
    </r>
    <r>
      <rPr>
        <sz val="14"/>
        <color theme="1"/>
        <rFont val="DevLys 010"/>
      </rPr>
      <t>,fj&amp;</t>
    </r>
    <r>
      <rPr>
        <sz val="14"/>
        <color theme="1"/>
        <rFont val="Calibri"/>
        <family val="2"/>
        <scheme val="minor"/>
      </rPr>
      <t>II</t>
    </r>
  </si>
  <si>
    <t>fQDls ,fj;j</t>
  </si>
  <si>
    <r>
      <t xml:space="preserve">ACP </t>
    </r>
    <r>
      <rPr>
        <sz val="14"/>
        <color theme="1"/>
        <rFont val="DevLys 010"/>
      </rPr>
      <t>,fj;j</t>
    </r>
  </si>
  <si>
    <t xml:space="preserve"> ;ksx osru</t>
  </si>
  <si>
    <t>GPF Loan</t>
  </si>
  <si>
    <r>
      <t xml:space="preserve">SI </t>
    </r>
    <r>
      <rPr>
        <sz val="10"/>
        <color theme="1"/>
        <rFont val="Calibri"/>
        <family val="2"/>
        <scheme val="minor"/>
      </rPr>
      <t>Premium</t>
    </r>
  </si>
  <si>
    <t>SI  Loan</t>
  </si>
  <si>
    <t>SI Intrest</t>
  </si>
  <si>
    <r>
      <t xml:space="preserve">osru ls </t>
    </r>
    <r>
      <rPr>
        <sz val="14"/>
        <color theme="1"/>
        <rFont val="Calibri"/>
        <family val="2"/>
        <scheme val="minor"/>
      </rPr>
      <t>LIC</t>
    </r>
  </si>
  <si>
    <t>I TAX</t>
  </si>
  <si>
    <t>lk- nq- chek</t>
  </si>
  <si>
    <t xml:space="preserve"> ;ksx   dVkSfr;k¡</t>
  </si>
  <si>
    <t>NO</t>
  </si>
  <si>
    <t>Basic Pay Month of March</t>
  </si>
  <si>
    <t>Bank A/C No.</t>
  </si>
  <si>
    <t>Name of Bank</t>
  </si>
  <si>
    <t>SBBJ,Churu</t>
  </si>
  <si>
    <t>01-04-2016 to 31-03-2017</t>
  </si>
  <si>
    <t xml:space="preserve">      FORM NO. : - 16</t>
  </si>
  <si>
    <t xml:space="preserve">Assessment Year </t>
  </si>
  <si>
    <t>Quarters</t>
  </si>
  <si>
    <t xml:space="preserve">has been deducted and deposited to the  </t>
  </si>
  <si>
    <t>(i) House Tax</t>
  </si>
  <si>
    <t>(ii) House Repair</t>
  </si>
  <si>
    <t>(iii) Intrest of House Loan</t>
  </si>
  <si>
    <t>6.  Income Add of Intrest (NSC + FDR + Bonds + Saving Acounts)</t>
  </si>
  <si>
    <t>5.(a)Add  Income of Under Section IVC</t>
  </si>
  <si>
    <t>Total  [ (a) + (b) + (c) ]</t>
  </si>
  <si>
    <t>7. Income chargeable under the head "salaries" [3 -4(a+b)+5(a)-5(b)+ 6]</t>
  </si>
  <si>
    <t>8. Add. Any other income reported by employee</t>
  </si>
  <si>
    <t>10. (A) Deductions under chapter VI A</t>
  </si>
  <si>
    <t>11. Aggregate  of deductible amount under chapter VIA(A+B)</t>
  </si>
  <si>
    <t>13. Tax on total income</t>
  </si>
  <si>
    <t>14. Education cess</t>
  </si>
  <si>
    <t>16. Relief under section 89 (Attach details)</t>
  </si>
  <si>
    <t>Tax Period of the Employer</t>
  </si>
  <si>
    <t>Name and address of the Employee</t>
  </si>
  <si>
    <t>in words</t>
  </si>
  <si>
    <t>PAN No. of the Employee'S</t>
  </si>
  <si>
    <t>APRIL</t>
  </si>
  <si>
    <t>MAY</t>
  </si>
  <si>
    <t>JUNE</t>
  </si>
  <si>
    <t>Other Income</t>
  </si>
  <si>
    <t>Income Tax</t>
  </si>
  <si>
    <t>Total Income Tax</t>
  </si>
  <si>
    <t>Gross Salary</t>
  </si>
  <si>
    <t>Total Other Income</t>
  </si>
  <si>
    <t>Quarterly Statement of deducation of tax under Sub Section(3) of the Income Tax Act, 1961  in respect of salary For the Quarter ended June</t>
  </si>
  <si>
    <t>( See Section 1992 and Rule 31A )</t>
  </si>
  <si>
    <t>Quarterly Return - 24Q &amp; 26Q</t>
  </si>
  <si>
    <t>1st Quarter    TDS     ( April     to      June )</t>
  </si>
  <si>
    <t>*** Verification ***</t>
  </si>
  <si>
    <t xml:space="preserve">  Place</t>
  </si>
  <si>
    <t>Signature and date of person responsible for deducting Tax at source.</t>
  </si>
  <si>
    <t xml:space="preserve">hereby  certify that all the particulars furnised above are correct an complete.      </t>
  </si>
  <si>
    <t>Employee's office Name :-</t>
  </si>
  <si>
    <t>Govt. PCB Sr. Sec. Sujangarh(Churu)</t>
  </si>
  <si>
    <t xml:space="preserve">(VII) NSC </t>
  </si>
  <si>
    <r>
      <t xml:space="preserve">dqy dVkSfr;ksa dk ;ksx </t>
    </r>
    <r>
      <rPr>
        <b/>
        <sz val="10"/>
        <color theme="1"/>
        <rFont val="Arial"/>
        <family val="2"/>
      </rPr>
      <t>[</t>
    </r>
    <r>
      <rPr>
        <b/>
        <sz val="10"/>
        <color theme="1"/>
        <rFont val="Calibri"/>
        <family val="2"/>
        <scheme val="minor"/>
      </rPr>
      <t>80C+80CCC+80CCD(1)] [Maxi. 150000 + Govt. NPS Contri. (BP+DA)*10%]</t>
    </r>
  </si>
  <si>
    <t>lzksr ls dkVk x;k  vk;dj</t>
  </si>
  <si>
    <t>lzksr ij gqbZ dqy vk;dj dVkSrh</t>
  </si>
  <si>
    <t>(Signature of Employee)</t>
  </si>
  <si>
    <t xml:space="preserve"> In Words</t>
  </si>
  <si>
    <t xml:space="preserve">/kqykbZ HkRrk </t>
  </si>
  <si>
    <t>GPF/NPS</t>
  </si>
  <si>
    <t>Total GPF/  NPS</t>
  </si>
  <si>
    <t>(I) US 80CCD (IB)</t>
  </si>
  <si>
    <t>(VIII) US 80U</t>
  </si>
  <si>
    <t>(IX) US 80TTA</t>
  </si>
  <si>
    <t>9. Gross total income (7+8)</t>
  </si>
  <si>
    <t>15. Tax payable (13+14)</t>
  </si>
  <si>
    <t>17. Tax payable (15-16)</t>
  </si>
  <si>
    <t>12. Total income (9-11)</t>
  </si>
  <si>
    <r>
      <rPr>
        <sz val="11"/>
        <color theme="1"/>
        <rFont val="Calibri"/>
        <family val="2"/>
        <scheme val="minor"/>
      </rPr>
      <t xml:space="preserve">(PL) </t>
    </r>
    <r>
      <rPr>
        <sz val="11"/>
        <color theme="1"/>
        <rFont val="DevLys 010"/>
      </rPr>
      <t>le- vodk'k</t>
    </r>
  </si>
  <si>
    <r>
      <t xml:space="preserve">DA </t>
    </r>
    <r>
      <rPr>
        <sz val="11"/>
        <color theme="1"/>
        <rFont val="Calibri"/>
        <family val="2"/>
        <scheme val="minor"/>
      </rPr>
      <t>GPF/NPS</t>
    </r>
  </si>
  <si>
    <t>SI Servise Tax</t>
  </si>
  <si>
    <t>fodykax HkRrk</t>
  </si>
  <si>
    <t>(II) ULIP</t>
  </si>
  <si>
    <t>(VIII) Tution fee</t>
  </si>
  <si>
    <t>(VII) Notified Bond Of NABARD</t>
  </si>
  <si>
    <r>
      <t xml:space="preserve">(vi) US 80G  [50% </t>
    </r>
    <r>
      <rPr>
        <sz val="14"/>
        <color theme="1"/>
        <rFont val="DevLys 010"/>
      </rPr>
      <t xml:space="preserve">/kekZFkZ laLFkkvksa esa nku dh jk'kh vf/kdre </t>
    </r>
    <r>
      <rPr>
        <sz val="14"/>
        <color theme="1"/>
        <rFont val="Calibri"/>
        <family val="2"/>
        <scheme val="minor"/>
      </rPr>
      <t xml:space="preserve">(BP+DA) </t>
    </r>
    <r>
      <rPr>
        <sz val="14"/>
        <color theme="1"/>
        <rFont val="DevLys 010"/>
      </rPr>
      <t>dk</t>
    </r>
    <r>
      <rPr>
        <sz val="14"/>
        <color theme="1"/>
        <rFont val="Calibri"/>
        <family val="2"/>
        <scheme val="minor"/>
      </rPr>
      <t xml:space="preserve"> 10%</t>
    </r>
    <r>
      <rPr>
        <sz val="14"/>
        <color theme="1"/>
        <rFont val="DevLys 010"/>
      </rPr>
      <t xml:space="preserve"> </t>
    </r>
    <r>
      <rPr>
        <sz val="14"/>
        <color theme="1"/>
        <rFont val="Calibri"/>
        <family val="2"/>
        <scheme val="minor"/>
      </rPr>
      <t>]</t>
    </r>
  </si>
  <si>
    <t>Tax Period  of the Employee</t>
  </si>
  <si>
    <t>(a) Summary of amount paid/credited and Tax deducted at source there on in respect of the employee</t>
  </si>
  <si>
    <t>Son/Daughter/wife of</t>
  </si>
  <si>
    <t>(b) Value of per-requisites US 17(2) (as per Form No. 12BA, wherever applicable)</t>
  </si>
  <si>
    <t>House Rent Allowance US10 (13A)</t>
  </si>
  <si>
    <t xml:space="preserve"> Less 5(b)</t>
  </si>
  <si>
    <t>Total deductible amount under chapter VI A  (B)</t>
  </si>
  <si>
    <t>Central Government Account,  I further certify that the information given above is true, complete and correct and is based on the books of account, docoment TDS statement, TDS deposited and other available records .</t>
  </si>
  <si>
    <t>and I further certify that  above amount of</t>
  </si>
  <si>
    <t xml:space="preserve"> income tax calculation true, complete and accurate and is calculated in accordance with current tax regulations.</t>
  </si>
  <si>
    <t>JULY</t>
  </si>
  <si>
    <t>AUGUST</t>
  </si>
  <si>
    <t>SEPTEMBER</t>
  </si>
  <si>
    <t>Quarterly Statement of deducation of tax under Sub Section(3) of the Income Tax Act, 1961  in respect of salary For the Quarter ended September</t>
  </si>
  <si>
    <t>2nd Quarter    TDS     ( July     to      September )</t>
  </si>
  <si>
    <t xml:space="preserve">Office Name:- </t>
  </si>
  <si>
    <t>Govt. PCB Sr. Sec. School, Sujangarh(Churu)</t>
  </si>
  <si>
    <t>ITO, WD No.-2, Churu,  331001</t>
  </si>
  <si>
    <t>OCTOBER</t>
  </si>
  <si>
    <t>NOVEMBER</t>
  </si>
  <si>
    <t>DECEMBER</t>
  </si>
  <si>
    <t>Quarterly Statement of deducation of tax under Sub Section(3) of the Income Tax Act, 1961  in respect of salary For the Quarter ended December</t>
  </si>
  <si>
    <t>3rd Quarter    TDS     ( October     to      December )</t>
  </si>
  <si>
    <t>JANUARY</t>
  </si>
  <si>
    <t>FEBRUARY</t>
  </si>
  <si>
    <t>MARCH</t>
  </si>
  <si>
    <t>Quarterly Statement of deducation of tax under Sub Section(3) of the Income Tax Act, 1961  in respect of salary For the Quarter ended March</t>
  </si>
  <si>
    <t>4th Quarter    TDS     ( January     to      March )</t>
  </si>
  <si>
    <t>1st Quarter</t>
  </si>
  <si>
    <t>2nd Quarter</t>
  </si>
  <si>
    <t>3rd Quarter</t>
  </si>
  <si>
    <t>4th Quarter</t>
  </si>
  <si>
    <t>Total Gross  Salary</t>
  </si>
  <si>
    <t>All Quarter TDS ( April  to  March )</t>
  </si>
  <si>
    <t>TAN  No. of  Office :-</t>
  </si>
  <si>
    <t>PAN No.  of  Deducter :-</t>
  </si>
  <si>
    <t xml:space="preserve">hereby  certify that all the particulars furnised above      </t>
  </si>
  <si>
    <t>Quarterly Statement of deducation of tax under Sub Section(3) of the Income Tax Act, 1961  in respect of salary For the All Quarter ended March</t>
  </si>
  <si>
    <t xml:space="preserve"> are correct an complete.  Place </t>
  </si>
  <si>
    <t>Employee No.</t>
  </si>
  <si>
    <t>Date of original Quarterly Statements of TDS</t>
  </si>
  <si>
    <t>School Name :-</t>
  </si>
  <si>
    <t>Quarter Number :-</t>
  </si>
  <si>
    <t>Date of original Quarterly deposite :-</t>
  </si>
  <si>
    <t>109 - Plan</t>
  </si>
  <si>
    <t>109 - Non Plan</t>
  </si>
  <si>
    <t>786 - Plan</t>
  </si>
  <si>
    <t>RMSA</t>
  </si>
  <si>
    <t>Receipt Number of Form No. 24G</t>
  </si>
  <si>
    <t>Status of Matching With Form No. 24G</t>
  </si>
  <si>
    <t>Tax Deposited Month</t>
  </si>
  <si>
    <t>March</t>
  </si>
  <si>
    <t>April</t>
  </si>
  <si>
    <t>May</t>
  </si>
  <si>
    <t>Jun</t>
  </si>
  <si>
    <t>July</t>
  </si>
  <si>
    <t>August</t>
  </si>
  <si>
    <t>September</t>
  </si>
  <si>
    <t>October</t>
  </si>
  <si>
    <t>November</t>
  </si>
  <si>
    <t>December</t>
  </si>
  <si>
    <t>January</t>
  </si>
  <si>
    <t>February</t>
  </si>
  <si>
    <t>Date of Transfer Voucher (dd/mm/yyyy)</t>
  </si>
  <si>
    <t>Status at Matching with ALL TAx (YES/NO)</t>
  </si>
  <si>
    <t>Status at Matching with ALL TAX (YES/NO)</t>
  </si>
  <si>
    <t>Feb.</t>
  </si>
  <si>
    <t>Jan.</t>
  </si>
  <si>
    <t>Dec.</t>
  </si>
  <si>
    <t>Nov.</t>
  </si>
  <si>
    <t>Oct.</t>
  </si>
  <si>
    <t>Sep.</t>
  </si>
  <si>
    <t>Aug.</t>
  </si>
  <si>
    <t>June</t>
  </si>
  <si>
    <t>Months</t>
  </si>
  <si>
    <t>Tax Deposited</t>
  </si>
  <si>
    <t>Date of Transfer Voucher</t>
  </si>
  <si>
    <t>Status of Matching  Form  24G</t>
  </si>
  <si>
    <t>Receipt Number Form No. 24G</t>
  </si>
  <si>
    <t>DDO Serial Number in Form No. 24G</t>
  </si>
  <si>
    <t>DDO Serial No. in Form  24G</t>
  </si>
  <si>
    <t>(c) Details of Tax Deducted and deposited in the Central Government Account Through Challan</t>
  </si>
  <si>
    <t>(b) Details of Tax Deducted and deposited in the Central Government Account Through book adjustment-(BIN)</t>
  </si>
  <si>
    <t xml:space="preserve">  PART - A                                                                               [ See rule 31(1)(a) ]                                                                 </t>
  </si>
  <si>
    <t>(i) House recive Rent</t>
  </si>
  <si>
    <t>I,</t>
  </si>
  <si>
    <t>Amount paid/credited (Rs/-)</t>
  </si>
  <si>
    <t>00/00/0000</t>
  </si>
  <si>
    <t>04363</t>
  </si>
  <si>
    <t>09461110977</t>
  </si>
  <si>
    <t>01.04.2016 to 31.03.2017</t>
  </si>
  <si>
    <t>Amount of Tax   deposited/remitted      (Rs/-)</t>
  </si>
  <si>
    <t>MAIN MENU</t>
  </si>
  <si>
    <t>Rules</t>
  </si>
  <si>
    <t>DDO</t>
  </si>
  <si>
    <t>Quarterly - Detail</t>
  </si>
  <si>
    <t>Q-I</t>
  </si>
  <si>
    <t>Q-II</t>
  </si>
  <si>
    <t>Q-III</t>
  </si>
  <si>
    <t>Q-IV</t>
  </si>
  <si>
    <t>ALL-Q</t>
  </si>
  <si>
    <t>Back To Main Menu</t>
  </si>
  <si>
    <t>1.</t>
  </si>
  <si>
    <t>2.</t>
  </si>
  <si>
    <t>3.</t>
  </si>
  <si>
    <t>4.</t>
  </si>
  <si>
    <t>5.</t>
  </si>
  <si>
    <t>Employee  Detail</t>
  </si>
  <si>
    <t xml:space="preserve">   Dev Karan Singh Kumawat</t>
  </si>
  <si>
    <t>Lecturer of Physics</t>
  </si>
  <si>
    <t>Govt. PCB  Sr. Sec. School, Sujangarh(Churu)</t>
  </si>
  <si>
    <t xml:space="preserve">   Mob. :- 9460228621</t>
  </si>
  <si>
    <t>E-mail ID :- dks.kumawat@gmail.com</t>
  </si>
  <si>
    <t>Employees No.</t>
  </si>
  <si>
    <t xml:space="preserve">   यह सोफ्टवेयर एक साथ 20 कर्मचारियों के लिए आयकर गणना परपत्र, FORM NO-16, आयकर की तिमाही रिपोर्ट (Q-I,Q-II,Q-III,Q-IV and ALL-Q)  तैयार करता है ! </t>
  </si>
  <si>
    <t>मह्त्वपूर्ण निर्देश</t>
  </si>
  <si>
    <t>Income Tax  सम्बन्धित नियम ध्यानपूर्वक पढ़े !</t>
  </si>
  <si>
    <t>Employee Detail</t>
  </si>
  <si>
    <t>इसमें कुल 20 कर्मचारीयों की आवश्यक सभी Entary भरें !</t>
  </si>
  <si>
    <t>Quarterly Detail</t>
  </si>
  <si>
    <t>इसमें आयकर की तिमाही रिपोर्ट जैसे:- Quarter-I, Quarter-II, Quarter-III and Quarter-IV  तथा चारों Quarters की समरी( ALL-Q) अपने-आप तैयार होंगे !</t>
  </si>
  <si>
    <t>Note :-</t>
  </si>
  <si>
    <t>इसमें आपको महत्वपूर्ण ध्यान रखने योग्ये बात यह कि Quarters में मार्च माह का वेतन अप्रेल माह में इसी प्रकार अन्हे माह का वेतन अगले माह मे गिना जाता है ! इसलिए DA, ACP, Bonus आदि जिस माह आहरण किया जाता है उससे ठिक पहले माह में Enter करें ! जैसे :- DA Arrear अप्रेल माह में आहरण कर लिया है तो इसे मार्च माह में सम्बन्धित कर्मचारी के Page1 में लिखें !</t>
  </si>
  <si>
    <t>इस सोफ्टवेयर हिन्दी फोन्ट्स Dev10 तथा mangal(Bold) Hindi fonts का Use हुआ है !</t>
  </si>
  <si>
    <r>
      <rPr>
        <b/>
        <sz val="12"/>
        <color theme="1"/>
        <rFont val="DevLys 010"/>
      </rPr>
      <t xml:space="preserve">         ;k vki </t>
    </r>
    <r>
      <rPr>
        <b/>
        <sz val="12"/>
        <color theme="1"/>
        <rFont val="Arial"/>
        <family val="2"/>
      </rPr>
      <t xml:space="preserve">dowanlod </t>
    </r>
    <r>
      <rPr>
        <b/>
        <sz val="12"/>
        <color theme="1"/>
        <rFont val="DevLys 010"/>
      </rPr>
      <t>djsa</t>
    </r>
    <r>
      <rPr>
        <b/>
        <sz val="12"/>
        <color theme="1"/>
        <rFont val="Arial"/>
        <family val="2"/>
      </rPr>
      <t xml:space="preserve">  google hindi toolkit</t>
    </r>
  </si>
  <si>
    <r>
      <t xml:space="preserve">इसमें कुल 20  कर्मचारी हैं प्रत्येक के नम्बर जैसे :- </t>
    </r>
    <r>
      <rPr>
        <b/>
        <u/>
        <sz val="12"/>
        <color rgb="FF00B0F0"/>
        <rFont val="Arial"/>
        <family val="2"/>
      </rPr>
      <t>1</t>
    </r>
    <r>
      <rPr>
        <b/>
        <sz val="12"/>
        <color rgb="FF00B0F0"/>
        <rFont val="Arial"/>
        <family val="2"/>
      </rPr>
      <t xml:space="preserve"> , </t>
    </r>
    <r>
      <rPr>
        <b/>
        <u/>
        <sz val="12"/>
        <color rgb="FF00B0F0"/>
        <rFont val="Arial"/>
        <family val="2"/>
      </rPr>
      <t>2</t>
    </r>
    <r>
      <rPr>
        <b/>
        <sz val="12"/>
        <color rgb="FF00B0F0"/>
        <rFont val="Arial"/>
        <family val="2"/>
      </rPr>
      <t xml:space="preserve"> , </t>
    </r>
    <r>
      <rPr>
        <b/>
        <u/>
        <sz val="12"/>
        <color rgb="FF00B0F0"/>
        <rFont val="Arial"/>
        <family val="2"/>
      </rPr>
      <t>3</t>
    </r>
    <r>
      <rPr>
        <b/>
        <sz val="12"/>
        <color rgb="FF00B0F0"/>
        <rFont val="Arial"/>
        <family val="2"/>
      </rPr>
      <t xml:space="preserve"> , …….., </t>
    </r>
    <r>
      <rPr>
        <b/>
        <u/>
        <sz val="12"/>
        <color rgb="FF00B0F0"/>
        <rFont val="Arial"/>
        <family val="2"/>
      </rPr>
      <t>20</t>
    </r>
    <r>
      <rPr>
        <b/>
        <sz val="12"/>
        <color rgb="FF00B0F0"/>
        <rFont val="Arial"/>
        <family val="2"/>
      </rPr>
      <t xml:space="preserve">  हैं! प्रत्येक नम्बर पर माउस से Click करने पर एक कर्मचारी के लिये A4 Size के कुल चार पेज जैसे :- Page 1, Page2, Page3 और Page4  खुलते हैं जिसमें केवल Page1 में आपको आवश्यकतानुसार वेतन, कटोतियों एवम अन्य छुटो में संशोधन कराना है तथा Page2( आयकर गणना प्रपत्र ) और Page3 व Page4 ( फोर्म न.-16)  अपने-आप तैयार होंगे ! </t>
    </r>
  </si>
  <si>
    <r>
      <t xml:space="preserve">uksV %&amp; </t>
    </r>
    <r>
      <rPr>
        <b/>
        <sz val="11"/>
        <color theme="1"/>
        <rFont val="Arial"/>
        <family val="2"/>
      </rPr>
      <t xml:space="preserve">mangal(bold) Hindi font </t>
    </r>
    <r>
      <rPr>
        <b/>
        <sz val="11"/>
        <color theme="1"/>
        <rFont val="DevLys 010"/>
      </rPr>
      <t xml:space="preserve">ds fy, </t>
    </r>
    <r>
      <rPr>
        <b/>
        <sz val="11"/>
        <color theme="1"/>
        <rFont val="Arial"/>
        <family val="2"/>
      </rPr>
      <t xml:space="preserve">Dowanlod URL :-  </t>
    </r>
    <r>
      <rPr>
        <sz val="11"/>
        <color theme="1"/>
        <rFont val="Arial"/>
        <family val="2"/>
      </rPr>
      <t>http://hindi-fonts.com/fonts/Mangal-Bold</t>
    </r>
  </si>
  <si>
    <t>Dadarwal</t>
  </si>
  <si>
    <t>वित्तीय वर्ष (Finacial Year)  :-  1  अप्रैल से 31 मार्च तक की अवधि</t>
  </si>
  <si>
    <t>कर निर्धारण वर्ष (Assessment Year) :- वित्तीय वर्ष का अगला वर्ष</t>
  </si>
  <si>
    <t>मूल वेतन, मंहगाई भत्ता, अवकाश वेतन, अग्रिम वेतन, बकाया वेतन, बोनस, कमीशन, फीस, विशेष वेतन, निर्वाह भत्ता, नविन पेंशन योजना में सरकार का अंशदान आदि I</t>
  </si>
  <si>
    <t>वेतन, मकान सम्पत्ति, व्यापार एवं पेशा, कैपीटल गेन एवं अन्य स्त्रोत से प्राप्त आय का योग I</t>
  </si>
  <si>
    <t>(vii) PPF</t>
  </si>
  <si>
    <t>(iX) Home Loan Capital</t>
  </si>
  <si>
    <t>(Viii) PLI</t>
  </si>
  <si>
    <t xml:space="preserve">(xi) NSC </t>
  </si>
  <si>
    <t xml:space="preserve">LIC की वार्षिक योजना में किया गया अधिकतम अंशदान = 1.5 लाख </t>
  </si>
  <si>
    <t>(a)  धारा(Section)  80C के अंतर्गत छूटे</t>
  </si>
  <si>
    <t>(b)  धारा(Section)  80CCC के अंतर्गत छूट</t>
  </si>
  <si>
    <t>(c)  धारा(Section)  80CCD(1)  के अंतर्गत छूट</t>
  </si>
  <si>
    <t xml:space="preserve">NPS योजना में (BP+DA) का अधिकतम 10% अंशदान   </t>
  </si>
  <si>
    <t xml:space="preserve">धारा </t>
  </si>
  <si>
    <t>US 80D</t>
  </si>
  <si>
    <t>विवरण</t>
  </si>
  <si>
    <t>अधिकतम छुट</t>
  </si>
  <si>
    <r>
      <t xml:space="preserve">मेडिक्लेम </t>
    </r>
    <r>
      <rPr>
        <sz val="12"/>
        <color theme="1"/>
        <rFont val="DevLys 010"/>
      </rPr>
      <t>ikWfylh में भुगतान हेतु</t>
    </r>
  </si>
  <si>
    <t>US 80DD</t>
  </si>
  <si>
    <t>आश्रित विकलांग की देखभाल हेतु</t>
  </si>
  <si>
    <t>US 80U</t>
  </si>
  <si>
    <t>अन्धापन,बहरापन,पागलपन,कुष्ठ रोग आदि से ग्रसित विकलांग पर खर्च</t>
  </si>
  <si>
    <t>US 80DDB</t>
  </si>
  <si>
    <t>भयंकर बीमारी के लिए स्वयं तथा आश्रितों पर खर्च</t>
  </si>
  <si>
    <t>US 80E</t>
  </si>
  <si>
    <t xml:space="preserve"> स्वयं तथा आश्रितों के लिए उच्च शिक्षा पर खर्च</t>
  </si>
  <si>
    <t>बैंक से लिए गये ऋण पर केवल ब्याज की छुट</t>
  </si>
  <si>
    <t>US 80TTA</t>
  </si>
  <si>
    <t>सहकारी समिति तथा डाकघर द्वारा बचत खाते पर दिया गया ब्याज</t>
  </si>
  <si>
    <t xml:space="preserve">(i) धर्मार्थ संस्थाओं में दिया गया दान </t>
  </si>
  <si>
    <t>(ii) वैज्ञानिक,सामाजिक,ग्रामीण,विकास हेतु दिया गया दान</t>
  </si>
  <si>
    <t>50 प्रतिशत छूट</t>
  </si>
  <si>
    <t>100 प्रतिशत छूट</t>
  </si>
  <si>
    <t>(A) धारा 80C, 80CCC एवं धारा 80CCD(1) तीनों में कुल अधिकतम छूट = 1.5 लाख</t>
  </si>
  <si>
    <t xml:space="preserve">(B) धारा 80C, 80CCC एवं धारा 80CCD(1)  के अतिरिक्त छूटें </t>
  </si>
  <si>
    <r>
      <t xml:space="preserve">शुद्ध कर योग्य आय = सकल कुल आय - छूट [ </t>
    </r>
    <r>
      <rPr>
        <b/>
        <sz val="14"/>
        <color rgb="FFFFFF00"/>
        <rFont val="Calibri"/>
        <family val="2"/>
        <scheme val="minor"/>
      </rPr>
      <t>(A)</t>
    </r>
    <r>
      <rPr>
        <b/>
        <sz val="14"/>
        <color theme="1"/>
        <rFont val="Calibri"/>
        <family val="2"/>
        <scheme val="minor"/>
      </rPr>
      <t xml:space="preserve"> + </t>
    </r>
    <r>
      <rPr>
        <b/>
        <sz val="14"/>
        <color rgb="FFFFFF00"/>
        <rFont val="Calibri"/>
        <family val="2"/>
        <scheme val="minor"/>
      </rPr>
      <t>(B)</t>
    </r>
    <r>
      <rPr>
        <b/>
        <sz val="14"/>
        <color theme="1"/>
        <rFont val="Calibri"/>
        <family val="2"/>
        <scheme val="minor"/>
      </rPr>
      <t xml:space="preserve"> ]</t>
    </r>
  </si>
  <si>
    <t>इसमें DDO से सम्बन्धित Quarter-I, Quarter-II, Quarter-III and Quarter-IV की सम्पूर्ण Entary नियमानुसार भरे तथा F.Year , A.Year, School Name, Form No. 16 के लिए Year and Date भरें ! और अन्य आवश्यक...</t>
  </si>
  <si>
    <t>Home Loan के ब्याज पर छूट</t>
  </si>
  <si>
    <t xml:space="preserve">Home Loan लेनें की Date </t>
  </si>
  <si>
    <t>Home Loan लेनें का कारण</t>
  </si>
  <si>
    <t>01-04-1999   से पूर्व</t>
  </si>
  <si>
    <t>अधिकतम छूट की सीमा</t>
  </si>
  <si>
    <t>30,000/-</t>
  </si>
  <si>
    <t>... nil ...</t>
  </si>
  <si>
    <t>01-04-1999   के बाद</t>
  </si>
  <si>
    <t>01-04-2016   के बाद</t>
  </si>
  <si>
    <t>150,000/-</t>
  </si>
  <si>
    <t>200000/-</t>
  </si>
  <si>
    <t>50,000/-</t>
  </si>
  <si>
    <t>US 80CCD(1B)</t>
  </si>
  <si>
    <t>50,000  रूपये</t>
  </si>
  <si>
    <t>60,000  रूपये</t>
  </si>
  <si>
    <t>125,000  रूपये(80DD में छूट प्राप्त की है तो छूट नहीं)</t>
  </si>
  <si>
    <t>10,000  रूपये</t>
  </si>
  <si>
    <t>125,000  रूपये</t>
  </si>
  <si>
    <t xml:space="preserve">NPS योजना में (BP+DA) के 10% अंशदान के अतिरिक्त  अंशदान </t>
  </si>
  <si>
    <t xml:space="preserve"> मकान किराया भत्ता (HRA)  की छूट</t>
  </si>
  <si>
    <t>(i) प्राप्त वास्तविक मकान किराया भत्ता</t>
  </si>
  <si>
    <t>(ii) वेतन(BP+DA) का 10% से अधिक चुकाया गया मकान किराया</t>
  </si>
  <si>
    <t>(निम्न में से जो सबसे कम राशि है उसकी छूट दैय होगी)</t>
  </si>
  <si>
    <t>(ii) वेतन(BP+DA) का 40% से अधिक चुकाया गया मकान किराया</t>
  </si>
  <si>
    <t>शुद्ध कर योग्य आय यदि 5 लाख से अधिक नहीं है तो धारा US 87A के अन्तर्गत आयकर में 5 हजार की छूट दैय होगी I</t>
  </si>
  <si>
    <t>नोट :- मकान किराये की छूट केवल उसी कर्मचारी को दैय होती है जो मकान किराये के रूप रहकर मकान किराया दे रहा है, अन्नेथा नहीं I</t>
  </si>
  <si>
    <t>NSC पर ब्याज की गणना (Give Amount Period Wise)</t>
  </si>
  <si>
    <t>Purchase Period</t>
  </si>
  <si>
    <t>Period   (in Years)</t>
  </si>
  <si>
    <t>Interest</t>
  </si>
  <si>
    <t>From    01-12-2011       To                31-03-2012 ( 6 Year NSC)</t>
  </si>
  <si>
    <t>From    01-12-2011       To                31-03-2012 ( 5 Year NSC)</t>
  </si>
  <si>
    <t>From    01-04-2012                  ON Wards ( 5 Year NSC)</t>
  </si>
  <si>
    <t>0</t>
  </si>
  <si>
    <t>O.B.C.,Sujangarh</t>
  </si>
  <si>
    <t>00</t>
  </si>
  <si>
    <t>JAGADISH PRASAD CHOUHAN</t>
  </si>
  <si>
    <t>ABPPC0835K</t>
  </si>
  <si>
    <t>51110471261</t>
  </si>
  <si>
    <t>SBBJ, Sujangarh</t>
  </si>
  <si>
    <t>RAM PRASHAD SHARMA</t>
  </si>
  <si>
    <t>AGDPS0116J</t>
  </si>
  <si>
    <t>40750100002869</t>
  </si>
  <si>
    <t>BRKGB, Sujangarh</t>
  </si>
  <si>
    <t>BHAGIRATH GURDA</t>
  </si>
  <si>
    <t>ADZPG8777C</t>
  </si>
  <si>
    <t>40970100000799</t>
  </si>
  <si>
    <t>BRKGB, Chhapar</t>
  </si>
  <si>
    <t xml:space="preserve">DEVKRAN SINGH </t>
  </si>
  <si>
    <t xml:space="preserve">CHANDAR KALA </t>
  </si>
  <si>
    <t>ACNPV0041M</t>
  </si>
  <si>
    <t>01922040000140</t>
  </si>
  <si>
    <t>BHOMA RAM MEENA</t>
  </si>
  <si>
    <t>ACLPM3827E</t>
  </si>
  <si>
    <t>61136005681</t>
  </si>
  <si>
    <t>SBBJ,Salasar</t>
  </si>
  <si>
    <t>VIJAY CHOUDHARY</t>
  </si>
  <si>
    <t>AHMPC9320N</t>
  </si>
  <si>
    <t>61018845504</t>
  </si>
  <si>
    <t xml:space="preserve">KAMALESH KUMAR </t>
  </si>
  <si>
    <t>DLLPK8818M</t>
  </si>
  <si>
    <t>61040613266</t>
  </si>
  <si>
    <t xml:space="preserve">SITARAM DADHICH </t>
  </si>
  <si>
    <t>AFZPD5085N</t>
  </si>
  <si>
    <t>51104153451</t>
  </si>
  <si>
    <t xml:space="preserve">VIJAY SINGH </t>
  </si>
  <si>
    <t>AIDPS3122L</t>
  </si>
  <si>
    <t>181200101003103</t>
  </si>
  <si>
    <t>Corpo.Bank, Sujangarh</t>
  </si>
  <si>
    <t>RANVEER SINGH</t>
  </si>
  <si>
    <t>ABKPM3872F</t>
  </si>
  <si>
    <t>40750100012689</t>
  </si>
  <si>
    <t>VIJAY SANKAR SHARAMA</t>
  </si>
  <si>
    <t>ADUPS1283L</t>
  </si>
  <si>
    <t>61159086959</t>
  </si>
  <si>
    <t xml:space="preserve">GOVIND RAM BHATI </t>
  </si>
  <si>
    <t>ASHPR1636E</t>
  </si>
  <si>
    <t>61035562794</t>
  </si>
  <si>
    <t>RAJ KUMAR TANWAR</t>
  </si>
  <si>
    <t>Lab. Asist.</t>
  </si>
  <si>
    <t>ACPPT9605F</t>
  </si>
  <si>
    <t>51095136792</t>
  </si>
  <si>
    <t>VIJAY KUMAR DENWAL</t>
  </si>
  <si>
    <t>UDC</t>
  </si>
  <si>
    <t>AKPPD4869B</t>
  </si>
  <si>
    <t>40750100009999</t>
  </si>
  <si>
    <t>DEEP CHAND PRAJAPAT</t>
  </si>
  <si>
    <t>40750100001532</t>
  </si>
  <si>
    <t xml:space="preserve">MANGI LAL </t>
  </si>
  <si>
    <t>AMPPD4396D</t>
  </si>
  <si>
    <t>61118689720</t>
  </si>
  <si>
    <t xml:space="preserve">KAMAL KISHOR RANKAWAT </t>
  </si>
  <si>
    <t>AVUPR4488E</t>
  </si>
  <si>
    <t>51095015778</t>
  </si>
  <si>
    <t>VINOD KUMAR SHARMA</t>
  </si>
  <si>
    <t>Lab.Boy.</t>
  </si>
  <si>
    <t>CJOPK0625C</t>
  </si>
  <si>
    <t>51095136894</t>
  </si>
  <si>
    <t>From    01-12-2011       To                31-03-2012 ( 10 Year NSC)</t>
  </si>
  <si>
    <t>From    01-04-2012                  ON Wards ( 10 Year NSC)</t>
  </si>
  <si>
    <t>Icome Tax Slab</t>
  </si>
  <si>
    <t>2.5 लाख तक</t>
  </si>
  <si>
    <t>2.5 लाख से 5 लाख तक</t>
  </si>
  <si>
    <t>5 लाख से 10 लाख तक</t>
  </si>
  <si>
    <t>10 लाख से ऊपर</t>
  </si>
  <si>
    <t>आयकर</t>
  </si>
  <si>
    <t>वेतन(Salry) सीमा</t>
  </si>
  <si>
    <t>... Nil ...</t>
  </si>
  <si>
    <t>(ii) मकान मरम्मत       के लिए</t>
  </si>
  <si>
    <t>(i) नया मकान बनाने    तथा खरीदनें के लिए</t>
  </si>
  <si>
    <t>वेतन(Salry) :-</t>
  </si>
  <si>
    <t>सकल कुल आय(Gross Salry)</t>
  </si>
  <si>
    <t>नोट :-</t>
  </si>
  <si>
    <t xml:space="preserve">    सभी नियम एवं गणनायें आयकर के नियमानुसार हैं फिर भी वर्तमान आयकर नियमों का अध्ययन कर आयकर सलाहकार से राय अवश्य लें I यदि सोफ्टवेअर में तथा नियमों में किसी प्रकार की गलती हो तो निम्न मोबाइल नंबर या E-Mail ID पर गलती अवश्य अवगत करवायें I      mob.:- 9460228621 या 8696372945 (Time:- 7 PM to 9 PM)</t>
  </si>
  <si>
    <t>DDO Details</t>
  </si>
  <si>
    <t xml:space="preserve">QkWeZ ua- 16 tkjh djus dk fnukad %&amp; </t>
  </si>
  <si>
    <t xml:space="preserve">   Mobile No.         of  Employee's</t>
  </si>
  <si>
    <t>PAN  No. of the Employee's</t>
  </si>
  <si>
    <t>IF YOU NPS (Yes/No)</t>
  </si>
  <si>
    <t xml:space="preserve">धारा US 89 की छूट का नियम </t>
  </si>
  <si>
    <t xml:space="preserve">           यदि कर्मचारी को गतवर्ष में कोई एरियर( जैसे :- बोनस, कमीशन, फीस आदि) प्राप्त हुआ है तो वह भी गतवर्ष में कर योग्य होगा बशर्त वह राशि उपार्जित होने वाले वर्ष में पहले ही कर योग्य न की गई हो तो एरियर पर धारा 89 की छूट का दावा किया जा सकता है I</t>
  </si>
  <si>
    <t xml:space="preserve"> निम्न भत्ते आयकर से मुक्त होंगें बेशर्त कि इन भत्तों को आय में जोड़ा गया है अन्नेथा नहीं I जैसे:- वाहन, वर्दी,यात्रा, शैक्षणिक, मनोंरजन भत्ता आदि I</t>
  </si>
  <si>
    <t>प्रत्तेक प्रकार का ब्याज(जैसे:- NSC,Bonds, FDR, Saving Account  आदि)    कर योग्य होगा परन्तु US 80TTA में ब्याज पर छूट अवश्य मिलेगी I</t>
  </si>
  <si>
    <r>
      <rPr>
        <b/>
        <sz val="20"/>
        <color rgb="FFFF0000"/>
        <rFont val="Calibri"/>
        <family val="2"/>
        <scheme val="minor"/>
      </rPr>
      <t xml:space="preserve">नोट :- </t>
    </r>
    <r>
      <rPr>
        <b/>
        <sz val="20"/>
        <color theme="1"/>
        <rFont val="Calibri"/>
        <family val="2"/>
        <scheme val="minor"/>
      </rPr>
      <t xml:space="preserve">         </t>
    </r>
  </si>
  <si>
    <r>
      <rPr>
        <b/>
        <sz val="20"/>
        <color rgb="FFFF0000"/>
        <rFont val="Calibri"/>
        <family val="2"/>
        <scheme val="minor"/>
      </rPr>
      <t>नोट :-</t>
    </r>
    <r>
      <rPr>
        <b/>
        <sz val="20"/>
        <color theme="1"/>
        <rFont val="Calibri"/>
        <family val="2"/>
        <scheme val="minor"/>
      </rPr>
      <t xml:space="preserve"> </t>
    </r>
  </si>
  <si>
    <r>
      <t xml:space="preserve">dVkSfr;ksa  </t>
    </r>
    <r>
      <rPr>
        <b/>
        <sz val="11"/>
        <color theme="1"/>
        <rFont val="Calibri"/>
        <family val="2"/>
        <scheme val="minor"/>
      </rPr>
      <t>[80C+80CCC+80CCD(I)=US 80CCE] +  Govt. NPS Contri.[US 80CCD(2)]</t>
    </r>
    <r>
      <rPr>
        <b/>
        <sz val="11"/>
        <color theme="1"/>
        <rFont val="DevLys 010"/>
      </rPr>
      <t xml:space="preserve"> ds ckn 'ks"k vk;</t>
    </r>
  </si>
  <si>
    <r>
      <rPr>
        <sz val="12"/>
        <color theme="1"/>
        <rFont val="Calibri"/>
        <family val="2"/>
        <scheme val="minor"/>
      </rPr>
      <t xml:space="preserve">2. (a) </t>
    </r>
    <r>
      <rPr>
        <sz val="12"/>
        <color theme="1"/>
        <rFont val="DevLys 010"/>
      </rPr>
      <t>edku fdjk;k HkRrk</t>
    </r>
    <r>
      <rPr>
        <sz val="12"/>
        <color theme="1"/>
        <rFont val="Calibri"/>
        <family val="2"/>
        <scheme val="minor"/>
      </rPr>
      <t xml:space="preserve">(House Rent Allowance) US 10(13A)  </t>
    </r>
  </si>
  <si>
    <t>(ii) US 80D  (max. Rs.  60000/-)</t>
  </si>
  <si>
    <t>(iii) US 80DD (max. Rs. 125000/-)</t>
  </si>
  <si>
    <t>(VIII) US 80U  [max. Rs. 125000/- ]</t>
  </si>
  <si>
    <r>
      <rPr>
        <sz val="12"/>
        <color theme="1"/>
        <rFont val="Calibri"/>
        <family val="2"/>
        <scheme val="minor"/>
      </rPr>
      <t>(Ix) US 80 TTA [ max. Rs. 10000/- ]</t>
    </r>
    <r>
      <rPr>
        <sz val="11"/>
        <color theme="1"/>
        <rFont val="Calibri"/>
        <family val="2"/>
        <scheme val="minor"/>
      </rPr>
      <t xml:space="preserve">   (सहकारी समिति एवं डाकघर में बचत खाते पर ब्याज)</t>
    </r>
  </si>
  <si>
    <r>
      <rPr>
        <b/>
        <sz val="24"/>
        <color rgb="FF0070C0"/>
        <rFont val="Arial"/>
        <family val="2"/>
      </rPr>
      <t xml:space="preserve">I-Tax Master  </t>
    </r>
    <r>
      <rPr>
        <b/>
        <sz val="24"/>
        <color rgb="FF0070C0"/>
        <rFont val="DevLys 010"/>
      </rPr>
      <t>esa</t>
    </r>
    <r>
      <rPr>
        <b/>
        <sz val="24"/>
        <color rgb="FF0070C0"/>
        <rFont val="Arial"/>
        <family val="2"/>
      </rPr>
      <t xml:space="preserve">  </t>
    </r>
    <r>
      <rPr>
        <b/>
        <sz val="24"/>
        <color rgb="FF0070C0"/>
        <rFont val="DevLys 010"/>
      </rPr>
      <t xml:space="preserve">okfil vkus ds fy,                                                                  </t>
    </r>
    <r>
      <rPr>
        <b/>
        <sz val="24"/>
        <color theme="1"/>
        <rFont val="DevLys 010"/>
      </rPr>
      <t xml:space="preserve"> </t>
    </r>
    <r>
      <rPr>
        <b/>
        <sz val="24"/>
        <color rgb="FFFF0000"/>
        <rFont val="Arial"/>
        <family val="2"/>
      </rPr>
      <t>Back to Main Menu</t>
    </r>
  </si>
  <si>
    <t>Deep Chand Prajapat</t>
  </si>
  <si>
    <t>Mob. :- 9024708918</t>
  </si>
  <si>
    <t>E-mail ID :- badmunda9024@gmail.com</t>
  </si>
  <si>
    <t>लिपिक ग्रेड - Ist</t>
  </si>
  <si>
    <t>pcbsugh@yahoo.in</t>
  </si>
  <si>
    <t>LADURAM JAT</t>
  </si>
  <si>
    <t>01</t>
  </si>
  <si>
    <t>13</t>
  </si>
  <si>
    <t>15</t>
  </si>
  <si>
    <t>MADAN LAL PILANIYA</t>
  </si>
  <si>
    <t>HEADMASTER</t>
  </si>
  <si>
    <t>AQPPP7545Q</t>
  </si>
  <si>
    <t>61043651685</t>
  </si>
  <si>
    <t>SBBJ,SANDWA</t>
  </si>
  <si>
    <t>GOVT.SEC.SCHOOL DEWANI</t>
  </si>
  <si>
    <t>RAMDEVA RAM PILANIYA</t>
  </si>
  <si>
    <t>26380</t>
  </si>
  <si>
    <t>gssdewani@gmail.com</t>
  </si>
  <si>
    <t>01568242951</t>
  </si>
  <si>
    <t>9928390871</t>
  </si>
  <si>
    <t>DEWANI</t>
  </si>
</sst>
</file>

<file path=xl/styles.xml><?xml version="1.0" encoding="utf-8"?>
<styleSheet xmlns="http://schemas.openxmlformats.org/spreadsheetml/2006/main">
  <numFmts count="1">
    <numFmt numFmtId="164" formatCode="0.00_);\(0.00\)"/>
  </numFmts>
  <fonts count="119">
    <font>
      <sz val="11"/>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b/>
      <sz val="11"/>
      <color theme="1"/>
      <name val="Calibri"/>
      <family val="2"/>
      <scheme val="minor"/>
    </font>
    <font>
      <sz val="11"/>
      <color theme="1"/>
      <name val="DevLys 010"/>
    </font>
    <font>
      <b/>
      <sz val="11"/>
      <color theme="1"/>
      <name val="DevLys 010"/>
    </font>
    <font>
      <sz val="14"/>
      <color theme="1"/>
      <name val="DevLys 010"/>
    </font>
    <font>
      <sz val="14"/>
      <color theme="1"/>
      <name val="Calibri"/>
      <family val="2"/>
      <scheme val="minor"/>
    </font>
    <font>
      <b/>
      <sz val="14"/>
      <color theme="1"/>
      <name val="DevLys 010"/>
    </font>
    <font>
      <b/>
      <sz val="14"/>
      <color theme="1"/>
      <name val="Calibri"/>
      <family val="2"/>
      <scheme val="minor"/>
    </font>
    <font>
      <sz val="12"/>
      <color theme="1"/>
      <name val="Calibri"/>
      <family val="2"/>
      <scheme val="minor"/>
    </font>
    <font>
      <sz val="12"/>
      <color theme="1"/>
      <name val="DevLys 010"/>
    </font>
    <font>
      <b/>
      <sz val="11"/>
      <color rgb="FFFA7D00"/>
      <name val="Calibri"/>
      <family val="2"/>
      <scheme val="minor"/>
    </font>
    <font>
      <sz val="10"/>
      <color theme="1"/>
      <name val="Calibri"/>
      <family val="2"/>
      <scheme val="minor"/>
    </font>
    <font>
      <b/>
      <sz val="12"/>
      <color theme="1"/>
      <name val="Calibri"/>
      <family val="2"/>
      <scheme val="minor"/>
    </font>
    <font>
      <sz val="14"/>
      <color theme="1"/>
      <name val="Kruti Dev 010"/>
    </font>
    <font>
      <sz val="12.45"/>
      <color theme="1"/>
      <name val="Kruti Dev 010"/>
    </font>
    <font>
      <sz val="12.45"/>
      <color theme="1"/>
      <name val="Calibri"/>
      <family val="2"/>
      <scheme val="minor"/>
    </font>
    <font>
      <b/>
      <sz val="10"/>
      <color theme="1"/>
      <name val="Calibri"/>
      <family val="2"/>
      <scheme val="minor"/>
    </font>
    <font>
      <b/>
      <sz val="18"/>
      <color theme="1"/>
      <name val="Calibri"/>
      <family val="2"/>
      <scheme val="minor"/>
    </font>
    <font>
      <u/>
      <sz val="11"/>
      <color theme="10"/>
      <name val="Calibri"/>
      <family val="2"/>
    </font>
    <font>
      <sz val="9"/>
      <color theme="1"/>
      <name val="Calibri"/>
      <family val="2"/>
      <scheme val="minor"/>
    </font>
    <font>
      <sz val="9"/>
      <color theme="1"/>
      <name val="DevLys 010"/>
    </font>
    <font>
      <b/>
      <sz val="14"/>
      <color theme="1"/>
      <name val="Kruti Dev 010"/>
    </font>
    <font>
      <sz val="11"/>
      <color rgb="FF006100"/>
      <name val="Calibri"/>
      <family val="2"/>
      <scheme val="minor"/>
    </font>
    <font>
      <sz val="11"/>
      <color rgb="FF9C0006"/>
      <name val="Calibri"/>
      <family val="2"/>
      <scheme val="minor"/>
    </font>
    <font>
      <b/>
      <sz val="16"/>
      <color theme="1"/>
      <name val="Calibri"/>
      <family val="2"/>
      <scheme val="minor"/>
    </font>
    <font>
      <sz val="14"/>
      <color theme="1"/>
      <name val="Arial"/>
      <family val="2"/>
    </font>
    <font>
      <sz val="12"/>
      <color theme="1"/>
      <name val="Arial"/>
      <family val="2"/>
    </font>
    <font>
      <sz val="11"/>
      <color theme="1"/>
      <name val="Arial"/>
      <family val="2"/>
    </font>
    <font>
      <sz val="11"/>
      <color rgb="FF002060"/>
      <name val="Arial"/>
      <family val="2"/>
    </font>
    <font>
      <sz val="11"/>
      <color rgb="FF9C6500"/>
      <name val="Calibri"/>
      <family val="2"/>
      <scheme val="minor"/>
    </font>
    <font>
      <b/>
      <sz val="14"/>
      <color theme="1"/>
      <name val="Arial"/>
      <family val="2"/>
    </font>
    <font>
      <sz val="12"/>
      <color rgb="FF002060"/>
      <name val="Arial"/>
      <family val="2"/>
    </font>
    <font>
      <b/>
      <sz val="12"/>
      <color theme="1"/>
      <name val="Arial"/>
      <family val="2"/>
    </font>
    <font>
      <b/>
      <sz val="11"/>
      <color theme="1"/>
      <name val="Arial"/>
      <family val="2"/>
    </font>
    <font>
      <sz val="10"/>
      <color theme="1"/>
      <name val="Arial"/>
      <family val="2"/>
    </font>
    <font>
      <b/>
      <sz val="10"/>
      <color theme="1"/>
      <name val="Arial"/>
      <family val="2"/>
    </font>
    <font>
      <sz val="9.5"/>
      <color theme="1"/>
      <name val="Arial"/>
      <family val="2"/>
    </font>
    <font>
      <sz val="8"/>
      <color theme="1"/>
      <name val="Calibri"/>
      <family val="2"/>
      <scheme val="minor"/>
    </font>
    <font>
      <b/>
      <sz val="10"/>
      <color theme="1"/>
      <name val="DevLys 010"/>
    </font>
    <font>
      <b/>
      <u/>
      <sz val="11"/>
      <color theme="1"/>
      <name val="Arial"/>
      <family val="2"/>
    </font>
    <font>
      <b/>
      <u/>
      <sz val="12"/>
      <color theme="1"/>
      <name val="Arial"/>
      <family val="2"/>
    </font>
    <font>
      <b/>
      <sz val="12"/>
      <name val="Arial"/>
      <family val="2"/>
    </font>
    <font>
      <sz val="14"/>
      <color theme="1"/>
      <name val="Bookman Old Style"/>
      <family val="1"/>
    </font>
    <font>
      <b/>
      <u/>
      <sz val="10"/>
      <color theme="1"/>
      <name val="Arial"/>
      <family val="2"/>
    </font>
    <font>
      <b/>
      <sz val="11"/>
      <color rgb="FFFF0000"/>
      <name val="Arial"/>
      <family val="2"/>
    </font>
    <font>
      <sz val="11"/>
      <color theme="10"/>
      <name val="Arial"/>
      <family val="2"/>
    </font>
    <font>
      <b/>
      <sz val="12"/>
      <color rgb="FFFF0000"/>
      <name val="Arial"/>
      <family val="2"/>
    </font>
    <font>
      <sz val="16"/>
      <color theme="1"/>
      <name val="DevLys 010"/>
    </font>
    <font>
      <sz val="12"/>
      <color rgb="FFFF0000"/>
      <name val="Arial"/>
      <family val="2"/>
    </font>
    <font>
      <sz val="11"/>
      <color rgb="FFFF0000"/>
      <name val="Arial"/>
      <family val="2"/>
    </font>
    <font>
      <sz val="9"/>
      <color theme="1"/>
      <name val="Arial"/>
      <family val="2"/>
    </font>
    <font>
      <b/>
      <sz val="9"/>
      <color theme="1"/>
      <name val="Arial"/>
      <family val="2"/>
    </font>
    <font>
      <sz val="10"/>
      <color theme="1"/>
      <name val="Bookman Old Style"/>
      <family val="1"/>
    </font>
    <font>
      <b/>
      <sz val="22"/>
      <color theme="1"/>
      <name val="Calibri"/>
      <family val="2"/>
      <scheme val="minor"/>
    </font>
    <font>
      <b/>
      <sz val="11"/>
      <color rgb="FFFF0000"/>
      <name val="Calibri"/>
      <family val="2"/>
      <scheme val="minor"/>
    </font>
    <font>
      <b/>
      <sz val="16"/>
      <name val="Calibri"/>
      <family val="2"/>
      <scheme val="minor"/>
    </font>
    <font>
      <sz val="7.5"/>
      <color theme="1"/>
      <name val="Calibri"/>
      <family val="2"/>
      <scheme val="minor"/>
    </font>
    <font>
      <b/>
      <u/>
      <sz val="9"/>
      <color theme="1"/>
      <name val="Arial"/>
      <family val="2"/>
    </font>
    <font>
      <b/>
      <sz val="12"/>
      <color theme="1"/>
      <name val="DevLys 010"/>
    </font>
    <font>
      <b/>
      <sz val="11"/>
      <color theme="0"/>
      <name val="Calibri"/>
      <family val="2"/>
      <scheme val="minor"/>
    </font>
    <font>
      <b/>
      <u/>
      <sz val="11"/>
      <color theme="1"/>
      <name val="Calibri"/>
      <family val="2"/>
      <scheme val="minor"/>
    </font>
    <font>
      <sz val="18"/>
      <color rgb="FF00B050"/>
      <name val="Arial"/>
      <family val="2"/>
    </font>
    <font>
      <sz val="20"/>
      <color rgb="FFFF0000"/>
      <name val="Arial"/>
      <family val="2"/>
    </font>
    <font>
      <b/>
      <sz val="14"/>
      <color rgb="FFFF0000"/>
      <name val="Arial"/>
      <family val="2"/>
    </font>
    <font>
      <b/>
      <sz val="16"/>
      <color rgb="FFFF0000"/>
      <name val="Arial"/>
      <family val="2"/>
    </font>
    <font>
      <b/>
      <sz val="18"/>
      <name val="Arial"/>
      <family val="2"/>
    </font>
    <font>
      <b/>
      <sz val="18"/>
      <color theme="1"/>
      <name val="Arial"/>
      <family val="2"/>
    </font>
    <font>
      <b/>
      <u/>
      <sz val="18"/>
      <color rgb="FFFF0000"/>
      <name val="Calibri"/>
      <family val="2"/>
    </font>
    <font>
      <b/>
      <u/>
      <sz val="18"/>
      <color rgb="FF00B0F0"/>
      <name val="Calibri"/>
      <family val="2"/>
    </font>
    <font>
      <b/>
      <u/>
      <sz val="14"/>
      <color theme="10"/>
      <name val="Calibri"/>
      <family val="2"/>
    </font>
    <font>
      <b/>
      <u/>
      <sz val="18"/>
      <color rgb="FF0070C0"/>
      <name val="Calibri"/>
      <family val="2"/>
    </font>
    <font>
      <b/>
      <sz val="18"/>
      <color rgb="FFC00000"/>
      <name val="Arial"/>
      <family val="2"/>
    </font>
    <font>
      <b/>
      <u/>
      <sz val="14"/>
      <color rgb="FFFF0000"/>
      <name val="Calibri"/>
      <family val="2"/>
    </font>
    <font>
      <b/>
      <u/>
      <sz val="16"/>
      <color rgb="FFFF0000"/>
      <name val="Calibri"/>
      <family val="2"/>
    </font>
    <font>
      <sz val="11"/>
      <color rgb="FF00B050"/>
      <name val="Arial"/>
      <family val="2"/>
    </font>
    <font>
      <b/>
      <sz val="11"/>
      <color rgb="FF00B050"/>
      <name val="Arial"/>
      <family val="2"/>
    </font>
    <font>
      <b/>
      <sz val="12"/>
      <color rgb="FF00B0F0"/>
      <name val="Arial"/>
      <family val="2"/>
    </font>
    <font>
      <b/>
      <sz val="12"/>
      <color rgb="FF00B050"/>
      <name val="Arial"/>
      <family val="2"/>
    </font>
    <font>
      <b/>
      <u/>
      <sz val="12"/>
      <color rgb="FF00B0F0"/>
      <name val="Arial"/>
      <family val="2"/>
    </font>
    <font>
      <b/>
      <sz val="14"/>
      <color rgb="FF9C0006"/>
      <name val="Calibri"/>
      <family val="2"/>
      <scheme val="minor"/>
    </font>
    <font>
      <b/>
      <sz val="16"/>
      <color rgb="FF9C0006"/>
      <name val="Calibri"/>
      <family val="2"/>
      <scheme val="minor"/>
    </font>
    <font>
      <b/>
      <sz val="11.5"/>
      <color rgb="FF00B050"/>
      <name val="Arial"/>
      <family val="2"/>
    </font>
    <font>
      <sz val="14"/>
      <color rgb="FFFF0000"/>
      <name val="Calibri"/>
      <family val="2"/>
      <scheme val="minor"/>
    </font>
    <font>
      <b/>
      <sz val="14"/>
      <color rgb="FF00B050"/>
      <name val="Calibri"/>
      <family val="2"/>
      <scheme val="minor"/>
    </font>
    <font>
      <b/>
      <sz val="14"/>
      <color rgb="FF0070C0"/>
      <name val="Calibri"/>
      <family val="2"/>
      <scheme val="minor"/>
    </font>
    <font>
      <b/>
      <sz val="14"/>
      <color rgb="FFFFFF00"/>
      <name val="Calibri"/>
      <family val="2"/>
      <scheme val="minor"/>
    </font>
    <font>
      <b/>
      <sz val="20"/>
      <color rgb="FFFF0000"/>
      <name val="DevLys 010"/>
    </font>
    <font>
      <b/>
      <sz val="11"/>
      <color rgb="FF00B0F0"/>
      <name val="Calibri"/>
      <family val="2"/>
      <scheme val="minor"/>
    </font>
    <font>
      <b/>
      <sz val="12"/>
      <color rgb="FFFF0000"/>
      <name val="Calibri"/>
      <family val="2"/>
      <scheme val="minor"/>
    </font>
    <font>
      <b/>
      <sz val="10.5"/>
      <color rgb="FFFF0000"/>
      <name val="Calibri"/>
      <family val="2"/>
      <scheme val="minor"/>
    </font>
    <font>
      <sz val="16"/>
      <color rgb="FFFFFF00"/>
      <name val="Calibri"/>
      <family val="2"/>
      <scheme val="minor"/>
    </font>
    <font>
      <b/>
      <sz val="14"/>
      <color rgb="FFC00000"/>
      <name val="Calibri"/>
      <family val="2"/>
      <scheme val="minor"/>
    </font>
    <font>
      <b/>
      <sz val="14"/>
      <color rgb="FFFF0000"/>
      <name val="Calibri"/>
      <family val="2"/>
      <scheme val="minor"/>
    </font>
    <font>
      <b/>
      <sz val="13.5"/>
      <color rgb="FF0070C0"/>
      <name val="Calibri"/>
      <family val="2"/>
      <scheme val="minor"/>
    </font>
    <font>
      <sz val="14"/>
      <name val="Calibri"/>
      <family val="2"/>
      <scheme val="minor"/>
    </font>
    <font>
      <sz val="16"/>
      <color theme="1"/>
      <name val="Calibri"/>
      <family val="2"/>
      <scheme val="minor"/>
    </font>
    <font>
      <b/>
      <sz val="14"/>
      <color rgb="FF00B0F0"/>
      <name val="Calibri"/>
      <family val="2"/>
      <scheme val="minor"/>
    </font>
    <font>
      <sz val="24"/>
      <color rgb="FFFF0000"/>
      <name val="Arial"/>
      <family val="2"/>
    </font>
    <font>
      <b/>
      <i/>
      <sz val="12"/>
      <color rgb="FF0070C0"/>
      <name val="Calibri"/>
      <family val="2"/>
      <scheme val="minor"/>
    </font>
    <font>
      <b/>
      <i/>
      <sz val="12"/>
      <color rgb="FFFF0000"/>
      <name val="Arial"/>
      <family val="2"/>
    </font>
    <font>
      <b/>
      <sz val="20"/>
      <color theme="1"/>
      <name val="Calibri"/>
      <family val="2"/>
      <scheme val="minor"/>
    </font>
    <font>
      <b/>
      <sz val="20"/>
      <color rgb="FFFF0000"/>
      <name val="Calibri"/>
      <family val="2"/>
      <scheme val="minor"/>
    </font>
    <font>
      <sz val="10.5"/>
      <color theme="1"/>
      <name val="Arial"/>
      <family val="2"/>
    </font>
    <font>
      <sz val="10.5"/>
      <color theme="1"/>
      <name val="Calibri"/>
      <family val="2"/>
      <scheme val="minor"/>
    </font>
    <font>
      <b/>
      <sz val="24"/>
      <color theme="1"/>
      <name val="Arial"/>
      <family val="2"/>
    </font>
    <font>
      <b/>
      <sz val="24"/>
      <color rgb="FF0070C0"/>
      <name val="Arial"/>
      <family val="2"/>
    </font>
    <font>
      <b/>
      <sz val="24"/>
      <color rgb="FF0070C0"/>
      <name val="DevLys 010"/>
    </font>
    <font>
      <b/>
      <sz val="24"/>
      <color theme="1"/>
      <name val="DevLys 010"/>
    </font>
    <font>
      <b/>
      <sz val="24"/>
      <color rgb="FFFF0000"/>
      <name val="Arial"/>
      <family val="2"/>
    </font>
    <font>
      <b/>
      <sz val="16"/>
      <color rgb="FFFF0000"/>
      <name val="Calibri"/>
      <family val="2"/>
      <scheme val="minor"/>
    </font>
    <font>
      <b/>
      <i/>
      <sz val="16"/>
      <color rgb="FF0070C0"/>
      <name val="Calibri"/>
      <family val="2"/>
      <scheme val="minor"/>
    </font>
  </fonts>
  <fills count="24">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A5A5A5"/>
      </patternFill>
    </fill>
    <fill>
      <patternFill patternType="solid">
        <fgColor theme="4" tint="0.79998168889431442"/>
        <bgColor indexed="64"/>
      </patternFill>
    </fill>
    <fill>
      <patternFill patternType="solid">
        <fgColor theme="6" tint="0.59999389629810485"/>
        <bgColor indexed="64"/>
      </patternFill>
    </fill>
    <fill>
      <patternFill patternType="solid">
        <fgColor rgb="FF0070C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rgb="FF3F3F3F"/>
      </right>
      <top style="double">
        <color rgb="FF3F3F3F"/>
      </top>
      <bottom/>
      <diagonal/>
    </border>
    <border>
      <left style="double">
        <color rgb="FF3F3F3F"/>
      </left>
      <right style="double">
        <color rgb="FF3F3F3F"/>
      </right>
      <top style="double">
        <color rgb="FF3F3F3F"/>
      </top>
      <bottom/>
      <diagonal/>
    </border>
    <border>
      <left style="medium">
        <color indexed="64"/>
      </left>
      <right/>
      <top/>
      <bottom style="double">
        <color rgb="FF3F3F3F"/>
      </bottom>
      <diagonal/>
    </border>
    <border>
      <left/>
      <right style="medium">
        <color indexed="64"/>
      </right>
      <top/>
      <bottom style="double">
        <color rgb="FF3F3F3F"/>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8" fillId="2" borderId="13" applyNumberFormat="0" applyAlignment="0" applyProtection="0"/>
    <xf numFmtId="0" fontId="26" fillId="0" borderId="0" applyNumberFormat="0" applyFill="0" applyBorder="0" applyAlignment="0" applyProtection="0">
      <alignment vertical="top"/>
      <protection locked="0"/>
    </xf>
    <xf numFmtId="0" fontId="30" fillId="9" borderId="0" applyNumberFormat="0" applyBorder="0" applyAlignment="0" applyProtection="0"/>
    <xf numFmtId="0" fontId="31" fillId="10" borderId="0" applyNumberFormat="0" applyBorder="0" applyAlignment="0" applyProtection="0"/>
    <xf numFmtId="0" fontId="37" fillId="11" borderId="0" applyNumberFormat="0" applyBorder="0" applyAlignment="0" applyProtection="0"/>
    <xf numFmtId="0" fontId="67" fillId="13" borderId="66" applyNumberFormat="0" applyAlignment="0" applyProtection="0"/>
  </cellStyleXfs>
  <cellXfs count="1358">
    <xf numFmtId="0" fontId="0" fillId="0" borderId="0" xfId="0"/>
    <xf numFmtId="0" fontId="0" fillId="0" borderId="0" xfId="0"/>
    <xf numFmtId="0" fontId="0" fillId="0" borderId="0" xfId="0" applyBorder="1"/>
    <xf numFmtId="0" fontId="13" fillId="0" borderId="0" xfId="0" applyFont="1"/>
    <xf numFmtId="0" fontId="0" fillId="0" borderId="0" xfId="0" applyBorder="1" applyAlignment="1"/>
    <xf numFmtId="0" fontId="0" fillId="0" borderId="0" xfId="0"/>
    <xf numFmtId="0" fontId="0" fillId="0" borderId="0" xfId="0"/>
    <xf numFmtId="0" fontId="35" fillId="0" borderId="0" xfId="0" applyFont="1"/>
    <xf numFmtId="0" fontId="35" fillId="0" borderId="0" xfId="0" applyFont="1" applyBorder="1"/>
    <xf numFmtId="0" fontId="35" fillId="0" borderId="0" xfId="0" applyFont="1" applyBorder="1" applyAlignment="1"/>
    <xf numFmtId="0" fontId="44" fillId="0" borderId="0" xfId="0" applyFont="1" applyBorder="1" applyAlignment="1"/>
    <xf numFmtId="2" fontId="35" fillId="0" borderId="0" xfId="0" applyNumberFormat="1" applyFont="1" applyBorder="1"/>
    <xf numFmtId="0" fontId="35" fillId="0" borderId="0" xfId="0" applyFont="1" applyBorder="1" applyProtection="1">
      <protection locked="0"/>
    </xf>
    <xf numFmtId="0" fontId="35" fillId="0" borderId="6" xfId="0" applyFont="1" applyBorder="1" applyAlignment="1" applyProtection="1">
      <alignment horizontal="center" wrapText="1"/>
      <protection locked="0"/>
    </xf>
    <xf numFmtId="0" fontId="35" fillId="0" borderId="5" xfId="0" applyFont="1" applyBorder="1" applyAlignment="1" applyProtection="1">
      <alignment horizontal="center" wrapText="1"/>
      <protection locked="0"/>
    </xf>
    <xf numFmtId="0" fontId="36" fillId="3" borderId="6" xfId="0" applyFont="1" applyFill="1" applyBorder="1" applyProtection="1">
      <protection locked="0"/>
    </xf>
    <xf numFmtId="0" fontId="36" fillId="3" borderId="5" xfId="0" applyFont="1" applyFill="1" applyBorder="1" applyProtection="1">
      <protection locked="0"/>
    </xf>
    <xf numFmtId="0" fontId="0" fillId="0" borderId="0" xfId="0" applyAlignment="1"/>
    <xf numFmtId="0" fontId="0" fillId="0" borderId="0" xfId="0" applyProtection="1">
      <protection locked="0"/>
    </xf>
    <xf numFmtId="0" fontId="54" fillId="0" borderId="4" xfId="0" applyFont="1" applyBorder="1" applyAlignment="1" applyProtection="1">
      <alignment horizontal="center"/>
      <protection locked="0"/>
    </xf>
    <xf numFmtId="0" fontId="16" fillId="0" borderId="0" xfId="0" applyFont="1" applyProtection="1">
      <protection locked="0"/>
    </xf>
    <xf numFmtId="0" fontId="16" fillId="0" borderId="0" xfId="0" applyFont="1" applyBorder="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Font="1" applyProtection="1">
      <protection locked="0"/>
    </xf>
    <xf numFmtId="0" fontId="0" fillId="0" borderId="0" xfId="0" applyFont="1" applyBorder="1" applyAlignment="1" applyProtection="1">
      <protection locked="0"/>
    </xf>
    <xf numFmtId="0" fontId="26" fillId="0" borderId="0" xfId="2" applyFont="1" applyBorder="1" applyAlignment="1" applyProtection="1">
      <protection locked="0"/>
    </xf>
    <xf numFmtId="49" fontId="0" fillId="0" borderId="0" xfId="0" applyNumberFormat="1" applyFont="1" applyBorder="1" applyAlignment="1" applyProtection="1">
      <protection locked="0"/>
    </xf>
    <xf numFmtId="0" fontId="9" fillId="0" borderId="0" xfId="0" applyFont="1" applyBorder="1" applyAlignment="1" applyProtection="1">
      <protection locked="0"/>
    </xf>
    <xf numFmtId="0" fontId="0" fillId="0" borderId="0" xfId="0" applyFont="1" applyBorder="1" applyProtection="1">
      <protection locked="0"/>
    </xf>
    <xf numFmtId="0" fontId="0" fillId="0" borderId="17" xfId="0" applyBorder="1" applyProtection="1">
      <protection locked="0"/>
    </xf>
    <xf numFmtId="0" fontId="0" fillId="6" borderId="18" xfId="0" applyFill="1" applyBorder="1" applyAlignment="1" applyProtection="1">
      <alignment horizontal="center"/>
      <protection hidden="1"/>
    </xf>
    <xf numFmtId="0" fontId="25" fillId="4" borderId="18" xfId="1" applyFont="1" applyFill="1" applyBorder="1" applyAlignment="1" applyProtection="1">
      <protection hidden="1"/>
    </xf>
    <xf numFmtId="0" fontId="49" fillId="5" borderId="23" xfId="4" applyFont="1" applyFill="1" applyBorder="1" applyProtection="1">
      <protection hidden="1"/>
    </xf>
    <xf numFmtId="0" fontId="41" fillId="7" borderId="54" xfId="0" applyFont="1" applyFill="1" applyBorder="1" applyAlignment="1" applyProtection="1">
      <protection hidden="1"/>
    </xf>
    <xf numFmtId="0" fontId="34" fillId="6" borderId="40" xfId="0" applyFont="1" applyFill="1" applyBorder="1" applyAlignment="1" applyProtection="1">
      <protection hidden="1"/>
    </xf>
    <xf numFmtId="0" fontId="52" fillId="3" borderId="59" xfId="0" applyFont="1" applyFill="1" applyBorder="1" applyAlignment="1" applyProtection="1">
      <alignment vertical="center"/>
      <protection hidden="1"/>
    </xf>
    <xf numFmtId="0" fontId="52" fillId="3" borderId="33" xfId="0" applyFont="1" applyFill="1" applyBorder="1" applyAlignment="1" applyProtection="1">
      <alignment vertical="center" wrapText="1"/>
      <protection hidden="1"/>
    </xf>
    <xf numFmtId="0" fontId="49" fillId="5" borderId="1" xfId="4" applyFont="1" applyFill="1" applyBorder="1" applyProtection="1">
      <protection hidden="1"/>
    </xf>
    <xf numFmtId="0" fontId="34" fillId="6" borderId="0" xfId="0" applyFont="1" applyFill="1" applyBorder="1" applyAlignment="1" applyProtection="1">
      <protection hidden="1"/>
    </xf>
    <xf numFmtId="0" fontId="0" fillId="0" borderId="0" xfId="0" applyAlignment="1" applyProtection="1">
      <protection locked="0"/>
    </xf>
    <xf numFmtId="0" fontId="0" fillId="0" borderId="6" xfId="0" applyBorder="1" applyProtection="1">
      <protection locked="0"/>
    </xf>
    <xf numFmtId="0" fontId="35" fillId="0" borderId="6" xfId="0" applyFont="1" applyBorder="1" applyProtection="1">
      <protection locked="0"/>
    </xf>
    <xf numFmtId="0" fontId="35" fillId="0" borderId="1" xfId="0" applyFont="1" applyBorder="1" applyAlignment="1" applyProtection="1">
      <alignment vertical="center"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35" fillId="0" borderId="8" xfId="0" applyFont="1" applyBorder="1" applyAlignment="1" applyProtection="1">
      <alignment horizontal="center" wrapText="1"/>
      <protection locked="0"/>
    </xf>
    <xf numFmtId="0" fontId="0" fillId="0" borderId="7" xfId="0" applyBorder="1" applyProtection="1">
      <protection locked="0"/>
    </xf>
    <xf numFmtId="0" fontId="35" fillId="0" borderId="5" xfId="0" applyFont="1" applyBorder="1" applyProtection="1">
      <protection locked="0"/>
    </xf>
    <xf numFmtId="1" fontId="35" fillId="0" borderId="0" xfId="0" applyNumberFormat="1" applyFont="1" applyBorder="1" applyAlignment="1" applyProtection="1">
      <alignment horizontal="center"/>
      <protection locked="0"/>
    </xf>
    <xf numFmtId="0" fontId="0" fillId="0" borderId="0" xfId="0" applyProtection="1">
      <protection hidden="1"/>
    </xf>
    <xf numFmtId="0" fontId="35" fillId="0" borderId="0" xfId="0" applyFont="1" applyBorder="1" applyAlignment="1">
      <alignment horizontal="center"/>
    </xf>
    <xf numFmtId="0" fontId="9" fillId="0" borderId="40" xfId="0" applyFont="1" applyBorder="1" applyAlignment="1" applyProtection="1">
      <alignment horizontal="center"/>
      <protection locked="0"/>
    </xf>
    <xf numFmtId="0" fontId="9" fillId="0" borderId="40" xfId="0" applyFont="1" applyFill="1" applyBorder="1" applyAlignment="1" applyProtection="1">
      <alignment horizontal="center"/>
      <protection locked="0"/>
    </xf>
    <xf numFmtId="0" fontId="0" fillId="0" borderId="40" xfId="0" applyBorder="1" applyProtection="1">
      <protection locked="0"/>
    </xf>
    <xf numFmtId="0" fontId="35" fillId="0" borderId="1" xfId="0" applyFont="1" applyBorder="1" applyAlignment="1" applyProtection="1">
      <alignment vertical="center"/>
      <protection locked="0"/>
    </xf>
    <xf numFmtId="1" fontId="35" fillId="0" borderId="1" xfId="0" applyNumberFormat="1" applyFont="1" applyBorder="1" applyAlignment="1" applyProtection="1">
      <alignment horizontal="center" vertical="center"/>
      <protection locked="0"/>
    </xf>
    <xf numFmtId="0" fontId="35" fillId="0" borderId="2" xfId="0" applyFont="1" applyBorder="1" applyAlignment="1" applyProtection="1">
      <alignment vertical="center"/>
      <protection locked="0"/>
    </xf>
    <xf numFmtId="2" fontId="35" fillId="0" borderId="1" xfId="0" applyNumberFormat="1" applyFont="1" applyBorder="1" applyAlignment="1" applyProtection="1">
      <alignment horizontal="center" vertical="center"/>
      <protection locked="0"/>
    </xf>
    <xf numFmtId="14" fontId="35" fillId="0" borderId="1" xfId="0" applyNumberFormat="1" applyFont="1" applyBorder="1" applyAlignment="1" applyProtection="1">
      <alignment horizontal="center" vertical="center"/>
      <protection locked="0"/>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xf>
    <xf numFmtId="0" fontId="72" fillId="0" borderId="0" xfId="0" applyFont="1" applyAlignment="1" applyProtection="1">
      <protection locked="0"/>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xf>
    <xf numFmtId="0" fontId="0" fillId="0" borderId="0" xfId="0" applyBorder="1" applyProtection="1">
      <protection hidden="1"/>
    </xf>
    <xf numFmtId="0" fontId="34" fillId="0" borderId="29" xfId="0" applyFont="1" applyBorder="1" applyAlignment="1" applyProtection="1">
      <alignment horizontal="center"/>
      <protection hidden="1"/>
    </xf>
    <xf numFmtId="0" fontId="16" fillId="0" borderId="10" xfId="0" applyFont="1" applyBorder="1" applyProtection="1">
      <protection hidden="1"/>
    </xf>
    <xf numFmtId="0" fontId="16" fillId="0" borderId="10" xfId="0" applyFont="1" applyBorder="1" applyAlignment="1" applyProtection="1">
      <alignment horizontal="center"/>
      <protection hidden="1"/>
    </xf>
    <xf numFmtId="1" fontId="34" fillId="0" borderId="10" xfId="0" applyNumberFormat="1" applyFont="1" applyBorder="1" applyAlignment="1" applyProtection="1">
      <alignment horizontal="center"/>
      <protection hidden="1"/>
    </xf>
    <xf numFmtId="1" fontId="42" fillId="0" borderId="10" xfId="0" applyNumberFormat="1" applyFont="1" applyBorder="1" applyAlignment="1" applyProtection="1">
      <alignment horizontal="center"/>
      <protection hidden="1"/>
    </xf>
    <xf numFmtId="1" fontId="40" fillId="0" borderId="10" xfId="0" applyNumberFormat="1" applyFont="1" applyBorder="1" applyAlignment="1" applyProtection="1">
      <alignment horizontal="center"/>
      <protection hidden="1"/>
    </xf>
    <xf numFmtId="1" fontId="41" fillId="0" borderId="10" xfId="0" applyNumberFormat="1" applyFont="1" applyBorder="1" applyAlignment="1" applyProtection="1">
      <alignment horizontal="center"/>
      <protection hidden="1"/>
    </xf>
    <xf numFmtId="1" fontId="40" fillId="0" borderId="30" xfId="0" applyNumberFormat="1" applyFont="1" applyBorder="1" applyAlignment="1" applyProtection="1">
      <alignment horizontal="center"/>
      <protection hidden="1"/>
    </xf>
    <xf numFmtId="0" fontId="34" fillId="0" borderId="21" xfId="0" applyFont="1" applyBorder="1" applyAlignment="1" applyProtection="1">
      <alignment horizontal="center"/>
      <protection hidden="1"/>
    </xf>
    <xf numFmtId="0" fontId="16" fillId="0" borderId="1" xfId="0" applyFont="1" applyBorder="1" applyProtection="1">
      <protection hidden="1"/>
    </xf>
    <xf numFmtId="0" fontId="16" fillId="0" borderId="1" xfId="0" applyFont="1" applyBorder="1" applyAlignment="1" applyProtection="1">
      <alignment horizontal="center"/>
      <protection hidden="1"/>
    </xf>
    <xf numFmtId="1" fontId="40" fillId="0" borderId="1" xfId="0" applyNumberFormat="1" applyFont="1" applyBorder="1" applyAlignment="1" applyProtection="1">
      <alignment horizontal="center"/>
      <protection hidden="1"/>
    </xf>
    <xf numFmtId="1" fontId="41" fillId="0" borderId="1" xfId="0" applyNumberFormat="1" applyFont="1" applyBorder="1" applyAlignment="1" applyProtection="1">
      <alignment horizontal="center"/>
      <protection hidden="1"/>
    </xf>
    <xf numFmtId="1" fontId="40" fillId="0" borderId="22" xfId="0" applyNumberFormat="1" applyFont="1" applyBorder="1" applyAlignment="1" applyProtection="1">
      <alignment horizontal="center"/>
      <protection hidden="1"/>
    </xf>
    <xf numFmtId="0" fontId="50" fillId="0" borderId="40" xfId="0" applyFont="1" applyBorder="1" applyAlignment="1" applyProtection="1">
      <alignment horizontal="center" vertical="center"/>
      <protection hidden="1"/>
    </xf>
    <xf numFmtId="0" fontId="65" fillId="0" borderId="0" xfId="0" applyFont="1" applyBorder="1" applyAlignment="1" applyProtection="1">
      <alignment vertical="center"/>
      <protection hidden="1"/>
    </xf>
    <xf numFmtId="0" fontId="35" fillId="0" borderId="40" xfId="0" applyFont="1" applyBorder="1" applyProtection="1">
      <protection hidden="1"/>
    </xf>
    <xf numFmtId="0" fontId="35" fillId="0" borderId="0" xfId="0" applyFont="1" applyBorder="1" applyProtection="1">
      <protection hidden="1"/>
    </xf>
    <xf numFmtId="1" fontId="43" fillId="0" borderId="10" xfId="0" applyNumberFormat="1" applyFont="1" applyBorder="1" applyAlignment="1" applyProtection="1">
      <alignment horizontal="center"/>
      <protection hidden="1"/>
    </xf>
    <xf numFmtId="1" fontId="43" fillId="0" borderId="1" xfId="0" applyNumberFormat="1" applyFont="1" applyBorder="1" applyAlignment="1" applyProtection="1">
      <alignment horizontal="center"/>
      <protection hidden="1"/>
    </xf>
    <xf numFmtId="0" fontId="35" fillId="0" borderId="41" xfId="0" applyFont="1" applyBorder="1" applyProtection="1">
      <protection hidden="1"/>
    </xf>
    <xf numFmtId="0" fontId="35" fillId="0" borderId="42" xfId="0" applyFont="1" applyBorder="1" applyProtection="1">
      <protection hidden="1"/>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29" xfId="0" applyFont="1" applyBorder="1" applyAlignment="1" applyProtection="1">
      <alignment horizontal="center"/>
      <protection hidden="1"/>
    </xf>
    <xf numFmtId="0" fontId="0" fillId="0" borderId="10" xfId="0" applyFont="1" applyBorder="1" applyProtection="1">
      <protection hidden="1"/>
    </xf>
    <xf numFmtId="0" fontId="0" fillId="0" borderId="10" xfId="0" applyFont="1" applyBorder="1" applyAlignment="1" applyProtection="1">
      <alignment horizontal="center"/>
      <protection hidden="1"/>
    </xf>
    <xf numFmtId="1" fontId="35" fillId="0" borderId="10" xfId="0" applyNumberFormat="1" applyFont="1" applyBorder="1" applyAlignment="1" applyProtection="1">
      <alignment horizontal="center"/>
      <protection hidden="1"/>
    </xf>
    <xf numFmtId="1" fontId="41" fillId="0" borderId="30" xfId="0" applyNumberFormat="1" applyFont="1" applyBorder="1" applyAlignment="1" applyProtection="1">
      <alignment horizontal="center"/>
      <protection hidden="1"/>
    </xf>
    <xf numFmtId="0" fontId="0" fillId="0" borderId="21" xfId="0" applyFont="1" applyBorder="1" applyAlignment="1" applyProtection="1">
      <alignment horizontal="center"/>
      <protection hidden="1"/>
    </xf>
    <xf numFmtId="0" fontId="0" fillId="0" borderId="1" xfId="0" applyFont="1" applyBorder="1" applyProtection="1">
      <protection hidden="1"/>
    </xf>
    <xf numFmtId="0" fontId="0" fillId="0" borderId="1" xfId="0" applyFont="1" applyBorder="1" applyAlignment="1" applyProtection="1">
      <alignment horizontal="center"/>
      <protection hidden="1"/>
    </xf>
    <xf numFmtId="1" fontId="35" fillId="0" borderId="1" xfId="0" applyNumberFormat="1" applyFont="1" applyBorder="1" applyAlignment="1" applyProtection="1">
      <alignment horizontal="center"/>
      <protection hidden="1"/>
    </xf>
    <xf numFmtId="1" fontId="42" fillId="0" borderId="1" xfId="0" applyNumberFormat="1" applyFont="1" applyBorder="1" applyAlignment="1" applyProtection="1">
      <alignment horizontal="center"/>
      <protection hidden="1"/>
    </xf>
    <xf numFmtId="1" fontId="41" fillId="0" borderId="22" xfId="0" applyNumberFormat="1" applyFont="1" applyBorder="1" applyAlignment="1" applyProtection="1">
      <alignment horizontal="center"/>
      <protection hidden="1"/>
    </xf>
    <xf numFmtId="0" fontId="60" fillId="0" borderId="40" xfId="0" applyFont="1" applyBorder="1" applyAlignment="1" applyProtection="1">
      <alignment horizontal="center"/>
      <protection hidden="1"/>
    </xf>
    <xf numFmtId="0" fontId="35" fillId="0" borderId="0" xfId="0" applyFont="1" applyBorder="1" applyAlignment="1" applyProtection="1">
      <alignment vertical="center"/>
      <protection hidden="1"/>
    </xf>
    <xf numFmtId="0" fontId="42" fillId="0" borderId="40" xfId="0" applyFont="1" applyBorder="1" applyProtection="1">
      <protection hidden="1"/>
    </xf>
    <xf numFmtId="0" fontId="42" fillId="0" borderId="0" xfId="0" applyFont="1" applyBorder="1" applyProtection="1">
      <protection hidden="1"/>
    </xf>
    <xf numFmtId="0" fontId="42" fillId="0" borderId="0" xfId="0" applyFont="1" applyProtection="1">
      <protection hidden="1"/>
    </xf>
    <xf numFmtId="0" fontId="35" fillId="0" borderId="0" xfId="0" applyFont="1" applyProtection="1">
      <protection locked="0"/>
    </xf>
    <xf numFmtId="0" fontId="35" fillId="0" borderId="0" xfId="0" applyFont="1" applyBorder="1" applyAlignment="1" applyProtection="1">
      <alignment vertical="top"/>
      <protection locked="0"/>
    </xf>
    <xf numFmtId="0" fontId="75" fillId="0" borderId="1" xfId="2" applyFont="1" applyBorder="1" applyAlignment="1" applyProtection="1">
      <alignment horizontal="center" vertical="center"/>
      <protection locked="0"/>
    </xf>
    <xf numFmtId="0" fontId="75" fillId="0" borderId="22" xfId="2" applyFont="1" applyBorder="1" applyAlignment="1" applyProtection="1">
      <alignment horizontal="center" vertical="center"/>
      <protection locked="0"/>
    </xf>
    <xf numFmtId="0" fontId="78" fillId="0" borderId="34" xfId="2" applyFont="1" applyBorder="1" applyAlignment="1" applyProtection="1">
      <alignment horizontal="center" vertical="center"/>
      <protection locked="0"/>
    </xf>
    <xf numFmtId="0" fontId="78" fillId="0" borderId="57" xfId="2" applyFont="1" applyBorder="1" applyAlignment="1" applyProtection="1">
      <alignment horizontal="center" vertical="center"/>
      <protection locked="0"/>
    </xf>
    <xf numFmtId="49" fontId="73" fillId="0" borderId="59" xfId="0" applyNumberFormat="1" applyFont="1" applyBorder="1" applyAlignment="1" applyProtection="1">
      <alignment horizontal="center" vertical="center"/>
      <protection hidden="1"/>
    </xf>
    <xf numFmtId="0" fontId="69" fillId="0" borderId="60" xfId="0" applyFont="1" applyBorder="1" applyAlignment="1" applyProtection="1">
      <alignment vertical="center"/>
      <protection hidden="1"/>
    </xf>
    <xf numFmtId="49" fontId="73" fillId="0" borderId="21" xfId="0" applyNumberFormat="1" applyFont="1" applyBorder="1" applyAlignment="1" applyProtection="1">
      <alignment horizontal="center" vertical="center"/>
      <protection hidden="1"/>
    </xf>
    <xf numFmtId="0" fontId="69" fillId="0" borderId="1" xfId="0" applyFont="1" applyBorder="1" applyAlignment="1" applyProtection="1">
      <alignment vertical="center"/>
      <protection hidden="1"/>
    </xf>
    <xf numFmtId="0" fontId="69" fillId="0" borderId="2" xfId="0" applyFont="1" applyBorder="1" applyAlignment="1" applyProtection="1">
      <alignment vertical="center"/>
      <protection hidden="1"/>
    </xf>
    <xf numFmtId="49" fontId="74" fillId="0" borderId="33" xfId="0" applyNumberFormat="1" applyFont="1" applyBorder="1" applyAlignment="1" applyProtection="1">
      <alignment horizontal="center" vertical="center"/>
      <protection hidden="1"/>
    </xf>
    <xf numFmtId="0" fontId="69" fillId="0" borderId="34" xfId="0" applyFont="1" applyBorder="1" applyAlignment="1" applyProtection="1">
      <alignment vertical="center"/>
      <protection hidden="1"/>
    </xf>
    <xf numFmtId="0" fontId="40" fillId="14" borderId="0" xfId="0" applyFont="1" applyFill="1" applyBorder="1" applyAlignment="1" applyProtection="1">
      <alignment vertical="top"/>
      <protection hidden="1"/>
    </xf>
    <xf numFmtId="0" fontId="34" fillId="6" borderId="0" xfId="0" applyFont="1" applyFill="1" applyBorder="1" applyAlignment="1" applyProtection="1">
      <alignment horizontal="center"/>
      <protection hidden="1"/>
    </xf>
    <xf numFmtId="0" fontId="35" fillId="0" borderId="21"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0" fontId="35" fillId="0" borderId="49" xfId="0" applyFont="1" applyBorder="1" applyAlignment="1" applyProtection="1">
      <protection hidden="1"/>
    </xf>
    <xf numFmtId="0" fontId="35" fillId="0" borderId="19" xfId="0" applyFont="1" applyBorder="1" applyAlignment="1" applyProtection="1">
      <protection hidden="1"/>
    </xf>
    <xf numFmtId="0" fontId="35" fillId="0" borderId="20" xfId="0" applyFont="1" applyBorder="1" applyAlignment="1" applyProtection="1">
      <protection hidden="1"/>
    </xf>
    <xf numFmtId="0" fontId="35" fillId="0" borderId="14" xfId="0" applyFont="1" applyBorder="1" applyAlignment="1" applyProtection="1">
      <protection hidden="1"/>
    </xf>
    <xf numFmtId="0" fontId="35" fillId="0" borderId="0" xfId="0" applyFont="1" applyBorder="1" applyAlignment="1" applyProtection="1">
      <protection hidden="1"/>
    </xf>
    <xf numFmtId="0" fontId="35" fillId="0" borderId="17" xfId="0" applyFont="1" applyBorder="1" applyAlignment="1" applyProtection="1">
      <protection hidden="1"/>
    </xf>
    <xf numFmtId="0" fontId="79" fillId="0" borderId="42" xfId="0" applyFont="1" applyBorder="1" applyAlignment="1" applyProtection="1">
      <alignment vertical="center"/>
      <protection hidden="1"/>
    </xf>
    <xf numFmtId="49" fontId="73" fillId="0" borderId="5" xfId="0" applyNumberFormat="1" applyFont="1" applyBorder="1" applyAlignment="1" applyProtection="1">
      <alignment vertical="center"/>
      <protection hidden="1"/>
    </xf>
    <xf numFmtId="49" fontId="73" fillId="0" borderId="28" xfId="0" applyNumberFormat="1" applyFont="1" applyBorder="1" applyAlignment="1" applyProtection="1">
      <alignment vertical="center"/>
      <protection hidden="1"/>
    </xf>
    <xf numFmtId="0" fontId="35" fillId="0" borderId="25" xfId="0" applyFont="1" applyBorder="1" applyAlignment="1" applyProtection="1">
      <alignment vertical="center"/>
      <protection hidden="1"/>
    </xf>
    <xf numFmtId="0" fontId="35" fillId="0" borderId="12" xfId="0" applyFont="1" applyBorder="1" applyAlignment="1" applyProtection="1">
      <alignment vertical="center"/>
      <protection hidden="1"/>
    </xf>
    <xf numFmtId="0" fontId="35" fillId="0" borderId="40" xfId="0" applyFont="1" applyBorder="1" applyAlignment="1" applyProtection="1">
      <alignment vertical="center"/>
      <protection hidden="1"/>
    </xf>
    <xf numFmtId="0" fontId="35" fillId="0" borderId="15" xfId="0" applyFont="1" applyBorder="1" applyAlignment="1" applyProtection="1">
      <alignment vertical="center"/>
      <protection hidden="1"/>
    </xf>
    <xf numFmtId="0" fontId="35" fillId="0" borderId="27" xfId="0" applyFont="1" applyBorder="1" applyAlignment="1" applyProtection="1">
      <alignment vertical="center"/>
      <protection hidden="1"/>
    </xf>
    <xf numFmtId="0" fontId="35" fillId="0" borderId="5" xfId="0" applyFont="1" applyBorder="1" applyAlignment="1" applyProtection="1">
      <alignment vertical="center"/>
      <protection hidden="1"/>
    </xf>
    <xf numFmtId="0" fontId="35" fillId="0" borderId="28" xfId="0" applyFont="1" applyBorder="1" applyAlignment="1" applyProtection="1">
      <alignment vertical="center"/>
      <protection hidden="1"/>
    </xf>
    <xf numFmtId="0" fontId="35" fillId="0" borderId="76" xfId="0" applyFont="1" applyBorder="1" applyAlignment="1" applyProtection="1">
      <protection hidden="1"/>
    </xf>
    <xf numFmtId="0" fontId="0" fillId="0" borderId="0" xfId="0" applyAlignment="1" applyProtection="1">
      <alignment horizontal="center"/>
      <protection locked="0"/>
    </xf>
    <xf numFmtId="0" fontId="0" fillId="0" borderId="0" xfId="0" applyAlignment="1" applyProtection="1">
      <protection hidden="1"/>
    </xf>
    <xf numFmtId="0" fontId="34" fillId="12" borderId="37" xfId="0" applyFont="1" applyFill="1" applyBorder="1" applyProtection="1">
      <protection hidden="1"/>
    </xf>
    <xf numFmtId="0" fontId="34" fillId="12" borderId="23" xfId="0" applyFont="1" applyFill="1" applyBorder="1" applyProtection="1">
      <protection hidden="1"/>
    </xf>
    <xf numFmtId="0" fontId="34" fillId="12" borderId="23" xfId="0" applyFont="1" applyFill="1" applyBorder="1" applyAlignment="1" applyProtection="1">
      <alignment vertical="center"/>
      <protection hidden="1"/>
    </xf>
    <xf numFmtId="0" fontId="40" fillId="12" borderId="23" xfId="0" applyFont="1" applyFill="1" applyBorder="1" applyAlignment="1" applyProtection="1">
      <alignment vertical="center"/>
      <protection hidden="1"/>
    </xf>
    <xf numFmtId="0" fontId="34" fillId="12" borderId="25" xfId="0" applyFont="1" applyFill="1" applyBorder="1" applyAlignment="1" applyProtection="1">
      <alignment vertical="center"/>
      <protection hidden="1"/>
    </xf>
    <xf numFmtId="0" fontId="80" fillId="0" borderId="0" xfId="2" applyFont="1" applyAlignment="1" applyProtection="1">
      <alignment horizontal="center" vertical="center"/>
      <protection locked="0"/>
    </xf>
    <xf numFmtId="0" fontId="107" fillId="6" borderId="77" xfId="0" applyFont="1" applyFill="1" applyBorder="1" applyAlignment="1" applyProtection="1">
      <alignment horizontal="center"/>
      <protection hidden="1"/>
    </xf>
    <xf numFmtId="0" fontId="20" fillId="7" borderId="21" xfId="0" applyFont="1" applyFill="1" applyBorder="1" applyAlignment="1" applyProtection="1">
      <alignment horizontal="center"/>
      <protection hidden="1"/>
    </xf>
    <xf numFmtId="0" fontId="20" fillId="3" borderId="21" xfId="0" applyFont="1" applyFill="1" applyBorder="1" applyAlignment="1" applyProtection="1">
      <alignment horizontal="center" vertical="center"/>
      <protection hidden="1"/>
    </xf>
    <xf numFmtId="0" fontId="35" fillId="0" borderId="40" xfId="0" applyFont="1" applyBorder="1" applyAlignment="1" applyProtection="1">
      <alignment horizontal="center" wrapText="1"/>
      <protection locked="0"/>
    </xf>
    <xf numFmtId="0" fontId="0" fillId="0" borderId="22" xfId="0" applyBorder="1" applyProtection="1">
      <protection locked="0"/>
    </xf>
    <xf numFmtId="0" fontId="35" fillId="0" borderId="27" xfId="0" applyFont="1" applyBorder="1" applyAlignment="1" applyProtection="1">
      <alignment horizontal="center" wrapText="1"/>
      <protection locked="0"/>
    </xf>
    <xf numFmtId="0" fontId="35" fillId="0" borderId="34" xfId="0" applyFont="1" applyBorder="1" applyAlignment="1" applyProtection="1">
      <alignment vertical="center"/>
      <protection locked="0"/>
    </xf>
    <xf numFmtId="1" fontId="35" fillId="0" borderId="34" xfId="0" applyNumberFormat="1" applyFont="1" applyBorder="1" applyAlignment="1" applyProtection="1">
      <alignment horizontal="center" vertical="center"/>
      <protection locked="0"/>
    </xf>
    <xf numFmtId="49" fontId="35" fillId="0" borderId="34" xfId="0" applyNumberFormat="1" applyFont="1" applyBorder="1" applyAlignment="1" applyProtection="1">
      <alignment horizontal="center" vertical="center"/>
      <protection locked="0"/>
    </xf>
    <xf numFmtId="0" fontId="35" fillId="0" borderId="35" xfId="0" applyFont="1" applyBorder="1" applyAlignment="1" applyProtection="1">
      <alignment vertical="center"/>
      <protection locked="0"/>
    </xf>
    <xf numFmtId="2" fontId="35" fillId="0" borderId="34" xfId="0" applyNumberFormat="1" applyFont="1" applyBorder="1" applyAlignment="1" applyProtection="1">
      <alignment horizontal="center" vertical="center"/>
      <protection locked="0"/>
    </xf>
    <xf numFmtId="14" fontId="35" fillId="0" borderId="34" xfId="0" applyNumberFormat="1"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0" fontId="16" fillId="0" borderId="34"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70" fillId="0" borderId="0" xfId="0" applyFont="1" applyAlignment="1" applyProtection="1">
      <alignment vertical="center"/>
      <protection locked="0"/>
    </xf>
    <xf numFmtId="0" fontId="8" fillId="0" borderId="0" xfId="0" applyFont="1" applyProtection="1">
      <protection locked="0"/>
    </xf>
    <xf numFmtId="0" fontId="13" fillId="0" borderId="0" xfId="0" applyFont="1" applyBorder="1" applyAlignment="1" applyProtection="1">
      <protection locked="0"/>
    </xf>
    <xf numFmtId="0" fontId="8" fillId="0" borderId="0" xfId="0" applyFont="1" applyProtection="1">
      <protection hidden="1"/>
    </xf>
    <xf numFmtId="0" fontId="8" fillId="0" borderId="0" xfId="0" applyFont="1" applyAlignment="1" applyProtection="1">
      <protection hidden="1"/>
    </xf>
    <xf numFmtId="1" fontId="8" fillId="4" borderId="21" xfId="0" applyNumberFormat="1" applyFont="1" applyFill="1" applyBorder="1" applyAlignment="1" applyProtection="1">
      <alignment horizontal="center" vertical="center"/>
      <protection hidden="1"/>
    </xf>
    <xf numFmtId="0" fontId="8" fillId="0" borderId="0" xfId="0" applyFont="1" applyBorder="1" applyProtection="1">
      <protection hidden="1"/>
    </xf>
    <xf numFmtId="1" fontId="8" fillId="4" borderId="33" xfId="0" applyNumberFormat="1" applyFont="1" applyFill="1" applyBorder="1" applyAlignment="1" applyProtection="1">
      <alignment horizontal="center" vertical="center"/>
      <protection hidden="1"/>
    </xf>
    <xf numFmtId="0" fontId="13" fillId="0" borderId="0" xfId="0" applyFont="1" applyBorder="1" applyAlignment="1" applyProtection="1">
      <protection hidden="1"/>
    </xf>
    <xf numFmtId="0" fontId="16" fillId="0" borderId="0" xfId="0" applyFont="1" applyProtection="1">
      <protection hidden="1"/>
    </xf>
    <xf numFmtId="0" fontId="16" fillId="0" borderId="0" xfId="0" applyFont="1" applyBorder="1" applyProtection="1">
      <protection hidden="1"/>
    </xf>
    <xf numFmtId="1" fontId="8" fillId="4" borderId="21" xfId="0" applyNumberFormat="1" applyFont="1" applyFill="1" applyBorder="1" applyAlignment="1" applyProtection="1">
      <alignment horizontal="center"/>
      <protection hidden="1"/>
    </xf>
    <xf numFmtId="0" fontId="8" fillId="7" borderId="21" xfId="0" applyFont="1" applyFill="1" applyBorder="1" applyProtection="1">
      <protection hidden="1"/>
    </xf>
    <xf numFmtId="0" fontId="16" fillId="0" borderId="21" xfId="0" applyFont="1" applyBorder="1" applyProtection="1">
      <protection hidden="1"/>
    </xf>
    <xf numFmtId="1" fontId="8" fillId="4" borderId="33" xfId="0" applyNumberFormat="1" applyFont="1" applyFill="1" applyBorder="1" applyAlignment="1" applyProtection="1">
      <alignment horizontal="center"/>
      <protection hidden="1"/>
    </xf>
    <xf numFmtId="0" fontId="8" fillId="0" borderId="1" xfId="0" applyFont="1" applyBorder="1" applyProtection="1">
      <protection hidden="1"/>
    </xf>
    <xf numFmtId="1" fontId="34" fillId="0" borderId="10" xfId="0" applyNumberFormat="1" applyFont="1" applyBorder="1" applyAlignment="1" applyProtection="1">
      <alignment horizontal="left"/>
      <protection locked="0"/>
    </xf>
    <xf numFmtId="2" fontId="34" fillId="0" borderId="10" xfId="0" applyNumberFormat="1" applyFont="1" applyBorder="1" applyAlignment="1" applyProtection="1">
      <alignment horizontal="left"/>
      <protection locked="0"/>
    </xf>
    <xf numFmtId="1" fontId="34" fillId="0" borderId="1" xfId="0" applyNumberFormat="1" applyFont="1" applyBorder="1" applyAlignment="1" applyProtection="1">
      <alignment horizontal="left"/>
      <protection locked="0"/>
    </xf>
    <xf numFmtId="1" fontId="34" fillId="0" borderId="10" xfId="0" applyNumberFormat="1" applyFont="1" applyBorder="1" applyAlignment="1" applyProtection="1">
      <alignment horizontal="center"/>
      <protection locked="0"/>
    </xf>
    <xf numFmtId="2" fontId="34" fillId="0" borderId="1" xfId="0" applyNumberFormat="1" applyFont="1" applyBorder="1" applyAlignment="1" applyProtection="1">
      <alignment horizontal="left"/>
      <protection locked="0"/>
    </xf>
    <xf numFmtId="1" fontId="33" fillId="0" borderId="1" xfId="0" applyNumberFormat="1" applyFont="1" applyBorder="1" applyAlignment="1" applyProtection="1">
      <alignment horizontal="left"/>
      <protection locked="0"/>
    </xf>
    <xf numFmtId="1" fontId="35" fillId="0" borderId="1" xfId="0" applyNumberFormat="1" applyFont="1" applyBorder="1" applyAlignment="1" applyProtection="1">
      <alignment horizontal="left"/>
      <protection locked="0"/>
    </xf>
    <xf numFmtId="164" fontId="9" fillId="0" borderId="0" xfId="0" applyNumberFormat="1" applyFont="1" applyBorder="1" applyAlignment="1" applyProtection="1">
      <alignment horizontal="left"/>
      <protection locked="0"/>
    </xf>
    <xf numFmtId="0" fontId="13" fillId="0" borderId="22" xfId="0" applyFont="1" applyBorder="1" applyProtection="1">
      <protection locked="0"/>
    </xf>
    <xf numFmtId="0" fontId="13" fillId="0" borderId="17" xfId="0" applyFont="1" applyBorder="1" applyProtection="1">
      <protection locked="0"/>
    </xf>
    <xf numFmtId="2" fontId="33" fillId="0" borderId="0" xfId="0" applyNumberFormat="1" applyFont="1" applyBorder="1" applyAlignment="1" applyProtection="1">
      <alignment horizontal="center"/>
      <protection locked="0"/>
    </xf>
    <xf numFmtId="0" fontId="37" fillId="11" borderId="0" xfId="5" applyBorder="1" applyProtection="1">
      <protection locked="0"/>
    </xf>
    <xf numFmtId="2" fontId="33" fillId="0" borderId="2" xfId="0" applyNumberFormat="1" applyFont="1" applyBorder="1" applyAlignment="1" applyProtection="1">
      <alignment horizontal="center"/>
      <protection locked="0"/>
    </xf>
    <xf numFmtId="0" fontId="13" fillId="0" borderId="9" xfId="0" applyFont="1" applyBorder="1" applyAlignment="1" applyProtection="1">
      <alignment horizontal="left" vertical="center"/>
      <protection locked="0"/>
    </xf>
    <xf numFmtId="2" fontId="33" fillId="0" borderId="9" xfId="0" applyNumberFormat="1" applyFont="1" applyBorder="1" applyAlignment="1" applyProtection="1">
      <alignment horizontal="center"/>
      <protection locked="0"/>
    </xf>
    <xf numFmtId="2" fontId="33" fillId="0" borderId="4" xfId="0" applyNumberFormat="1" applyFont="1" applyBorder="1" applyAlignment="1" applyProtection="1">
      <alignment horizontal="center"/>
      <protection locked="0"/>
    </xf>
    <xf numFmtId="2" fontId="33" fillId="0" borderId="22" xfId="0" applyNumberFormat="1" applyFont="1" applyBorder="1" applyAlignment="1" applyProtection="1">
      <alignment horizontal="center"/>
      <protection locked="0"/>
    </xf>
    <xf numFmtId="0" fontId="12" fillId="3" borderId="9" xfId="0" applyFont="1" applyFill="1" applyBorder="1" applyAlignment="1" applyProtection="1">
      <alignment horizontal="center"/>
      <protection locked="0"/>
    </xf>
    <xf numFmtId="2" fontId="33" fillId="0" borderId="35" xfId="0" applyNumberFormat="1" applyFont="1" applyBorder="1" applyAlignment="1" applyProtection="1">
      <alignment horizontal="center"/>
      <protection locked="0"/>
    </xf>
    <xf numFmtId="0" fontId="35" fillId="0" borderId="0" xfId="0" applyFont="1" applyBorder="1" applyAlignment="1" applyProtection="1">
      <alignment horizontal="center"/>
      <protection hidden="1"/>
    </xf>
    <xf numFmtId="2" fontId="33" fillId="0" borderId="2" xfId="0" applyNumberFormat="1" applyFont="1" applyBorder="1" applyAlignment="1" applyProtection="1">
      <alignment horizontal="center"/>
      <protection locked="0"/>
    </xf>
    <xf numFmtId="2" fontId="33" fillId="0" borderId="35" xfId="0" applyNumberFormat="1" applyFont="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3" fillId="0" borderId="9" xfId="0" applyFont="1" applyBorder="1" applyAlignment="1" applyProtection="1">
      <alignment horizontal="left" vertical="center"/>
      <protection locked="0"/>
    </xf>
    <xf numFmtId="2" fontId="33" fillId="0" borderId="9" xfId="0" applyNumberFormat="1" applyFont="1" applyBorder="1" applyAlignment="1" applyProtection="1">
      <alignment horizontal="center"/>
      <protection locked="0"/>
    </xf>
    <xf numFmtId="2" fontId="33" fillId="0" borderId="4" xfId="0" applyNumberFormat="1" applyFont="1" applyBorder="1" applyAlignment="1" applyProtection="1">
      <alignment horizontal="center"/>
      <protection locked="0"/>
    </xf>
    <xf numFmtId="2" fontId="33" fillId="0" borderId="22" xfId="0" applyNumberFormat="1" applyFont="1" applyBorder="1" applyAlignment="1" applyProtection="1">
      <alignment horizontal="center"/>
      <protection locked="0"/>
    </xf>
    <xf numFmtId="2" fontId="41" fillId="0" borderId="1" xfId="0" applyNumberFormat="1" applyFont="1" applyBorder="1" applyAlignment="1" applyProtection="1">
      <alignment horizontal="center" vertical="center"/>
      <protection hidden="1"/>
    </xf>
    <xf numFmtId="2" fontId="41" fillId="0" borderId="22" xfId="0" applyNumberFormat="1" applyFont="1" applyBorder="1" applyAlignment="1" applyProtection="1">
      <alignment horizontal="center" vertical="center"/>
      <protection hidden="1"/>
    </xf>
    <xf numFmtId="1" fontId="35" fillId="0" borderId="1" xfId="0" applyNumberFormat="1" applyFont="1" applyBorder="1" applyAlignment="1" applyProtection="1">
      <alignment horizontal="center" vertical="center"/>
      <protection hidden="1"/>
    </xf>
    <xf numFmtId="1" fontId="35" fillId="0" borderId="22" xfId="0" applyNumberFormat="1" applyFont="1" applyBorder="1" applyAlignment="1" applyProtection="1">
      <alignment horizontal="center" vertical="center"/>
      <protection hidden="1"/>
    </xf>
    <xf numFmtId="14" fontId="64" fillId="0" borderId="1" xfId="0" applyNumberFormat="1" applyFont="1" applyBorder="1" applyAlignment="1" applyProtection="1">
      <alignment horizontal="center" vertical="center"/>
      <protection hidden="1"/>
    </xf>
    <xf numFmtId="14" fontId="64" fillId="0" borderId="22" xfId="0" applyNumberFormat="1" applyFont="1" applyBorder="1" applyAlignment="1" applyProtection="1">
      <alignment horizontal="center" vertical="center"/>
      <protection hidden="1"/>
    </xf>
    <xf numFmtId="0" fontId="45" fillId="0" borderId="1" xfId="0" applyNumberFormat="1" applyFont="1" applyBorder="1" applyAlignment="1" applyProtection="1">
      <alignment horizontal="center" vertical="center"/>
      <protection hidden="1"/>
    </xf>
    <xf numFmtId="0" fontId="45" fillId="0" borderId="22" xfId="0" applyNumberFormat="1" applyFont="1" applyBorder="1" applyAlignment="1" applyProtection="1">
      <alignment horizontal="center" vertical="center"/>
      <protection hidden="1"/>
    </xf>
    <xf numFmtId="0" fontId="45" fillId="0" borderId="1" xfId="0" applyFont="1" applyBorder="1" applyAlignment="1" applyProtection="1">
      <alignment horizontal="center" vertical="center"/>
      <protection hidden="1"/>
    </xf>
    <xf numFmtId="0" fontId="35" fillId="0" borderId="21" xfId="0" applyNumberFormat="1" applyFont="1" applyBorder="1" applyAlignment="1" applyProtection="1">
      <alignment horizontal="center"/>
      <protection hidden="1"/>
    </xf>
    <xf numFmtId="0" fontId="35" fillId="0" borderId="23" xfId="0" applyNumberFormat="1" applyFont="1" applyBorder="1" applyAlignment="1" applyProtection="1">
      <protection hidden="1"/>
    </xf>
    <xf numFmtId="0" fontId="50" fillId="0" borderId="40" xfId="0" applyFont="1" applyBorder="1" applyAlignment="1" applyProtection="1">
      <alignment horizontal="left"/>
      <protection hidden="1"/>
    </xf>
    <xf numFmtId="0" fontId="47" fillId="0" borderId="0" xfId="0" applyFont="1" applyBorder="1" applyAlignment="1" applyProtection="1">
      <alignment horizontal="left" vertical="center"/>
      <protection hidden="1"/>
    </xf>
    <xf numFmtId="2" fontId="35" fillId="0" borderId="0" xfId="0" applyNumberFormat="1" applyFont="1" applyBorder="1" applyProtection="1">
      <protection hidden="1"/>
    </xf>
    <xf numFmtId="0" fontId="13" fillId="0" borderId="0" xfId="0" applyFont="1" applyProtection="1">
      <protection hidden="1"/>
    </xf>
    <xf numFmtId="0" fontId="16" fillId="0" borderId="38" xfId="0" applyFont="1" applyBorder="1" applyAlignment="1" applyProtection="1">
      <protection hidden="1"/>
    </xf>
    <xf numFmtId="0" fontId="16" fillId="0" borderId="67" xfId="0" applyFont="1" applyBorder="1" applyAlignment="1" applyProtection="1">
      <protection hidden="1"/>
    </xf>
    <xf numFmtId="0" fontId="0" fillId="0" borderId="17" xfId="0" applyBorder="1" applyProtection="1">
      <protection hidden="1"/>
    </xf>
    <xf numFmtId="0" fontId="35" fillId="0" borderId="0" xfId="0" applyFont="1" applyProtection="1">
      <protection hidden="1"/>
    </xf>
    <xf numFmtId="0" fontId="41" fillId="0" borderId="44" xfId="0" applyFont="1" applyBorder="1" applyAlignment="1" applyProtection="1">
      <alignment horizontal="left" vertical="center"/>
      <protection hidden="1"/>
    </xf>
    <xf numFmtId="0" fontId="35" fillId="6" borderId="23" xfId="0" applyFont="1" applyFill="1" applyBorder="1" applyAlignment="1" applyProtection="1">
      <alignment horizontal="left" vertical="center"/>
      <protection hidden="1"/>
    </xf>
    <xf numFmtId="0" fontId="35" fillId="6" borderId="9" xfId="0" applyFont="1" applyFill="1" applyBorder="1" applyAlignment="1" applyProtection="1">
      <alignment horizontal="left" vertical="center"/>
      <protection hidden="1"/>
    </xf>
    <xf numFmtId="0" fontId="35" fillId="6" borderId="4" xfId="0" applyFont="1" applyFill="1" applyBorder="1" applyAlignment="1" applyProtection="1">
      <alignment horizontal="left" vertical="center"/>
      <protection hidden="1"/>
    </xf>
    <xf numFmtId="0" fontId="35" fillId="6" borderId="2" xfId="0" applyFont="1" applyFill="1" applyBorder="1" applyAlignment="1" applyProtection="1">
      <alignment horizontal="center" vertical="center"/>
      <protection hidden="1"/>
    </xf>
    <xf numFmtId="0" fontId="35" fillId="6" borderId="2" xfId="0" applyFont="1" applyFill="1" applyBorder="1" applyAlignment="1" applyProtection="1">
      <alignment horizontal="left"/>
      <protection hidden="1"/>
    </xf>
    <xf numFmtId="0" fontId="35" fillId="6" borderId="4" xfId="0" applyFont="1" applyFill="1" applyBorder="1" applyAlignment="1" applyProtection="1">
      <alignment horizontal="left"/>
      <protection hidden="1"/>
    </xf>
    <xf numFmtId="0" fontId="41" fillId="6" borderId="21" xfId="0" applyFont="1" applyFill="1" applyBorder="1" applyAlignment="1" applyProtection="1">
      <alignment horizontal="left" vertical="center"/>
      <protection hidden="1"/>
    </xf>
    <xf numFmtId="0" fontId="41" fillId="6" borderId="1" xfId="0" applyFont="1" applyFill="1" applyBorder="1" applyAlignment="1" applyProtection="1">
      <alignment horizontal="left" vertical="center"/>
      <protection hidden="1"/>
    </xf>
    <xf numFmtId="0" fontId="41" fillId="6" borderId="2" xfId="0" applyFont="1" applyFill="1" applyBorder="1" applyAlignment="1" applyProtection="1">
      <alignment horizontal="left" vertical="center"/>
      <protection hidden="1"/>
    </xf>
    <xf numFmtId="0" fontId="41" fillId="6" borderId="4" xfId="0" applyFont="1" applyFill="1" applyBorder="1" applyAlignment="1" applyProtection="1">
      <alignment horizontal="left" vertical="center"/>
      <protection hidden="1"/>
    </xf>
    <xf numFmtId="0" fontId="35" fillId="6" borderId="1" xfId="0" applyFont="1" applyFill="1" applyBorder="1" applyAlignment="1" applyProtection="1">
      <alignment horizontal="left"/>
      <protection hidden="1"/>
    </xf>
    <xf numFmtId="0" fontId="35" fillId="6" borderId="22" xfId="0" applyFont="1" applyFill="1" applyBorder="1" applyAlignment="1" applyProtection="1">
      <alignment horizontal="left"/>
      <protection hidden="1"/>
    </xf>
    <xf numFmtId="0" fontId="35" fillId="0" borderId="40" xfId="0" applyFont="1" applyBorder="1" applyAlignment="1" applyProtection="1">
      <protection hidden="1"/>
    </xf>
    <xf numFmtId="0" fontId="0" fillId="0" borderId="17" xfId="0" applyBorder="1" applyAlignment="1" applyProtection="1">
      <alignment horizontal="left"/>
      <protection hidden="1"/>
    </xf>
    <xf numFmtId="0" fontId="0" fillId="0" borderId="43" xfId="0" applyBorder="1" applyAlignment="1" applyProtection="1">
      <alignment horizontal="left"/>
      <protection hidden="1"/>
    </xf>
    <xf numFmtId="0" fontId="0" fillId="0" borderId="0" xfId="0" applyBorder="1" applyAlignment="1" applyProtection="1">
      <protection hidden="1"/>
    </xf>
    <xf numFmtId="0" fontId="44" fillId="0" borderId="0" xfId="0" applyFont="1" applyBorder="1" applyAlignment="1" applyProtection="1">
      <protection hidden="1"/>
    </xf>
    <xf numFmtId="0" fontId="35" fillId="0" borderId="40" xfId="0" applyFont="1" applyBorder="1" applyAlignment="1" applyProtection="1">
      <alignment horizontal="center"/>
      <protection hidden="1"/>
    </xf>
    <xf numFmtId="0" fontId="41" fillId="0" borderId="1" xfId="0" applyFont="1" applyBorder="1" applyAlignment="1" applyProtection="1">
      <alignment horizontal="center" vertical="center"/>
      <protection hidden="1"/>
    </xf>
    <xf numFmtId="0" fontId="35" fillId="0" borderId="9" xfId="0" applyFont="1" applyBorder="1" applyAlignment="1" applyProtection="1">
      <alignment horizontal="left" vertical="center"/>
      <protection hidden="1"/>
    </xf>
    <xf numFmtId="0" fontId="35" fillId="0" borderId="9" xfId="0" applyFont="1" applyBorder="1" applyAlignment="1" applyProtection="1">
      <alignment horizontal="center"/>
      <protection hidden="1"/>
    </xf>
    <xf numFmtId="2" fontId="35" fillId="0" borderId="1" xfId="0" applyNumberFormat="1" applyFont="1" applyBorder="1" applyAlignment="1" applyProtection="1">
      <alignment horizontal="center"/>
      <protection hidden="1"/>
    </xf>
    <xf numFmtId="2" fontId="33" fillId="0" borderId="2" xfId="0" applyNumberFormat="1" applyFont="1" applyBorder="1" applyAlignment="1" applyProtection="1">
      <alignment horizontal="center"/>
      <protection locked="0"/>
    </xf>
    <xf numFmtId="0" fontId="35" fillId="0" borderId="9" xfId="0" applyFont="1" applyBorder="1" applyAlignment="1" applyProtection="1">
      <alignment horizontal="center" vertical="center"/>
      <protection hidden="1"/>
    </xf>
    <xf numFmtId="0" fontId="34" fillId="0" borderId="0" xfId="0" applyFont="1" applyBorder="1" applyAlignment="1" applyProtection="1">
      <alignment horizontal="center"/>
      <protection hidden="1"/>
    </xf>
    <xf numFmtId="0" fontId="41" fillId="0" borderId="9" xfId="0" applyNumberFormat="1" applyFont="1" applyBorder="1" applyAlignment="1" applyProtection="1">
      <alignment horizontal="center"/>
      <protection hidden="1"/>
    </xf>
    <xf numFmtId="0" fontId="35" fillId="0" borderId="0" xfId="0" applyFont="1" applyBorder="1" applyAlignment="1" applyProtection="1">
      <alignment horizontal="center"/>
      <protection hidden="1"/>
    </xf>
    <xf numFmtId="0" fontId="47" fillId="0" borderId="0" xfId="0" applyFont="1" applyBorder="1" applyAlignment="1" applyProtection="1">
      <alignment horizontal="left" vertical="center" shrinkToFit="1"/>
      <protection hidden="1"/>
    </xf>
    <xf numFmtId="2" fontId="33" fillId="0" borderId="9" xfId="0" applyNumberFormat="1" applyFont="1" applyBorder="1" applyAlignment="1" applyProtection="1">
      <alignment horizontal="center"/>
      <protection locked="0"/>
    </xf>
    <xf numFmtId="2" fontId="33" fillId="0" borderId="4" xfId="0" applyNumberFormat="1" applyFont="1" applyBorder="1" applyAlignment="1" applyProtection="1">
      <alignment horizontal="center"/>
      <protection locked="0"/>
    </xf>
    <xf numFmtId="2" fontId="33" fillId="0" borderId="22" xfId="0" applyNumberFormat="1" applyFont="1" applyBorder="1" applyAlignment="1" applyProtection="1">
      <alignment horizontal="center"/>
      <protection locked="0"/>
    </xf>
    <xf numFmtId="0" fontId="12" fillId="3" borderId="9" xfId="0" applyFont="1" applyFill="1" applyBorder="1" applyAlignment="1" applyProtection="1">
      <alignment horizontal="center"/>
      <protection locked="0"/>
    </xf>
    <xf numFmtId="0" fontId="35" fillId="0" borderId="6" xfId="0" applyFont="1" applyBorder="1" applyAlignment="1" applyProtection="1">
      <alignment horizontal="center" vertical="center" wrapText="1"/>
      <protection hidden="1"/>
    </xf>
    <xf numFmtId="0" fontId="35" fillId="0" borderId="5" xfId="0" applyFont="1" applyBorder="1" applyAlignment="1" applyProtection="1">
      <alignment horizontal="center" vertical="center" wrapText="1"/>
      <protection hidden="1"/>
    </xf>
    <xf numFmtId="0" fontId="42" fillId="0" borderId="9" xfId="0" applyFont="1" applyBorder="1" applyAlignment="1" applyProtection="1">
      <alignment horizontal="left" vertical="center"/>
      <protection hidden="1"/>
    </xf>
    <xf numFmtId="0" fontId="0" fillId="0" borderId="17" xfId="0" applyBorder="1" applyAlignment="1" applyProtection="1">
      <alignment horizontal="center"/>
      <protection hidden="1"/>
    </xf>
    <xf numFmtId="14" fontId="41" fillId="0" borderId="0" xfId="0" applyNumberFormat="1" applyFont="1" applyBorder="1" applyAlignment="1" applyProtection="1">
      <alignment horizontal="center" vertical="center"/>
      <protection hidden="1"/>
    </xf>
    <xf numFmtId="2" fontId="33" fillId="0" borderId="35" xfId="0" applyNumberFormat="1" applyFont="1" applyBorder="1" applyAlignment="1" applyProtection="1">
      <alignment horizontal="center"/>
      <protection locked="0"/>
    </xf>
    <xf numFmtId="0" fontId="35" fillId="6" borderId="4" xfId="0" applyFont="1" applyFill="1" applyBorder="1" applyAlignment="1" applyProtection="1">
      <alignment horizontal="center" vertical="center"/>
      <protection hidden="1"/>
    </xf>
    <xf numFmtId="0" fontId="2" fillId="0" borderId="0" xfId="0" applyFont="1" applyAlignment="1" applyProtection="1">
      <protection locked="0"/>
    </xf>
    <xf numFmtId="0" fontId="2" fillId="0" borderId="0" xfId="0" applyFont="1" applyProtection="1">
      <protection locked="0"/>
    </xf>
    <xf numFmtId="0" fontId="2" fillId="0" borderId="0" xfId="0" applyFont="1"/>
    <xf numFmtId="0" fontId="2" fillId="0" borderId="0" xfId="0" applyFont="1" applyAlignment="1" applyProtection="1">
      <protection hidden="1"/>
    </xf>
    <xf numFmtId="0" fontId="12" fillId="0" borderId="3" xfId="0" applyFont="1" applyBorder="1" applyAlignment="1" applyProtection="1">
      <alignment horizontal="center" wrapText="1"/>
      <protection hidden="1"/>
    </xf>
    <xf numFmtId="0" fontId="13" fillId="0" borderId="3" xfId="0" applyFont="1" applyBorder="1" applyAlignment="1" applyProtection="1">
      <alignment horizontal="center" wrapText="1"/>
      <protection hidden="1"/>
    </xf>
    <xf numFmtId="0" fontId="10" fillId="0" borderId="0" xfId="0" applyFont="1" applyProtection="1">
      <protection hidden="1"/>
    </xf>
    <xf numFmtId="0" fontId="12" fillId="0" borderId="10" xfId="0" applyFont="1" applyBorder="1" applyAlignment="1" applyProtection="1">
      <alignment horizontal="center" wrapText="1"/>
      <protection hidden="1"/>
    </xf>
    <xf numFmtId="0" fontId="13" fillId="0" borderId="10" xfId="0" applyFont="1" applyBorder="1" applyAlignment="1" applyProtection="1">
      <alignment horizontal="center" wrapText="1"/>
      <protection hidden="1"/>
    </xf>
    <xf numFmtId="0" fontId="16" fillId="0" borderId="29" xfId="0" applyFont="1" applyBorder="1" applyProtection="1">
      <protection hidden="1"/>
    </xf>
    <xf numFmtId="17" fontId="34" fillId="0" borderId="10" xfId="0" applyNumberFormat="1" applyFont="1" applyBorder="1" applyAlignment="1" applyProtection="1">
      <alignment horizontal="left"/>
      <protection hidden="1"/>
    </xf>
    <xf numFmtId="1" fontId="34" fillId="0" borderId="1" xfId="0" applyNumberFormat="1" applyFont="1" applyBorder="1" applyAlignment="1" applyProtection="1">
      <alignment horizontal="left"/>
      <protection hidden="1"/>
    </xf>
    <xf numFmtId="2" fontId="34" fillId="0" borderId="1" xfId="0" applyNumberFormat="1" applyFont="1" applyBorder="1" applyAlignment="1" applyProtection="1">
      <alignment horizontal="left"/>
      <protection hidden="1"/>
    </xf>
    <xf numFmtId="1" fontId="34" fillId="0" borderId="1" xfId="0" applyNumberFormat="1" applyFont="1" applyBorder="1" applyAlignment="1" applyProtection="1">
      <alignment horizontal="center"/>
      <protection hidden="1"/>
    </xf>
    <xf numFmtId="1" fontId="34" fillId="0" borderId="22" xfId="0" applyNumberFormat="1" applyFont="1" applyBorder="1" applyAlignment="1" applyProtection="1">
      <alignment horizontal="center"/>
      <protection hidden="1"/>
    </xf>
    <xf numFmtId="0" fontId="33" fillId="0" borderId="24" xfId="0" applyFont="1" applyBorder="1" applyProtection="1">
      <protection hidden="1"/>
    </xf>
    <xf numFmtId="0" fontId="13" fillId="0" borderId="21" xfId="0" applyFont="1" applyBorder="1" applyAlignment="1" applyProtection="1">
      <protection hidden="1"/>
    </xf>
    <xf numFmtId="0" fontId="33" fillId="0" borderId="24" xfId="0" applyFont="1" applyBorder="1" applyAlignment="1" applyProtection="1">
      <protection hidden="1"/>
    </xf>
    <xf numFmtId="0" fontId="0" fillId="0" borderId="3"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17" fontId="34" fillId="0" borderId="1" xfId="0" applyNumberFormat="1" applyFont="1" applyBorder="1" applyAlignment="1" applyProtection="1">
      <alignment horizontal="left"/>
      <protection hidden="1"/>
    </xf>
    <xf numFmtId="2" fontId="34" fillId="0" borderId="22" xfId="0" applyNumberFormat="1" applyFont="1" applyBorder="1" applyAlignment="1" applyProtection="1">
      <alignment horizontal="left"/>
      <protection hidden="1"/>
    </xf>
    <xf numFmtId="0" fontId="12" fillId="6" borderId="23" xfId="0" applyFont="1" applyFill="1" applyBorder="1" applyAlignment="1" applyProtection="1">
      <protection hidden="1"/>
    </xf>
    <xf numFmtId="0" fontId="12" fillId="6" borderId="9" xfId="0" applyFont="1" applyFill="1" applyBorder="1" applyAlignment="1" applyProtection="1">
      <protection hidden="1"/>
    </xf>
    <xf numFmtId="0" fontId="12" fillId="6" borderId="4" xfId="0" applyFont="1" applyFill="1" applyBorder="1" applyAlignment="1" applyProtection="1">
      <protection hidden="1"/>
    </xf>
    <xf numFmtId="0" fontId="0" fillId="6" borderId="2" xfId="0" applyFont="1" applyFill="1" applyBorder="1" applyAlignment="1" applyProtection="1">
      <alignment horizontal="left"/>
      <protection hidden="1"/>
    </xf>
    <xf numFmtId="0" fontId="0" fillId="6" borderId="24" xfId="0" applyFont="1" applyFill="1" applyBorder="1" applyAlignment="1" applyProtection="1">
      <alignment horizontal="left"/>
      <protection hidden="1"/>
    </xf>
    <xf numFmtId="0" fontId="11" fillId="0" borderId="0" xfId="0" applyFont="1" applyBorder="1" applyAlignment="1" applyProtection="1">
      <alignment textRotation="90"/>
      <protection hidden="1"/>
    </xf>
    <xf numFmtId="164" fontId="9" fillId="0" borderId="0" xfId="0" applyNumberFormat="1" applyFont="1" applyBorder="1" applyAlignment="1" applyProtection="1">
      <alignment horizontal="left"/>
      <protection hidden="1"/>
    </xf>
    <xf numFmtId="2" fontId="40" fillId="0" borderId="22" xfId="0" applyNumberFormat="1" applyFont="1" applyBorder="1" applyAlignment="1" applyProtection="1">
      <alignment horizontal="left"/>
      <protection hidden="1"/>
    </xf>
    <xf numFmtId="1" fontId="33" fillId="0" borderId="1" xfId="0" applyNumberFormat="1" applyFont="1" applyBorder="1" applyAlignment="1" applyProtection="1">
      <alignment horizontal="left"/>
      <protection hidden="1"/>
    </xf>
    <xf numFmtId="1" fontId="42" fillId="0" borderId="1" xfId="0" applyNumberFormat="1" applyFont="1" applyBorder="1" applyAlignment="1" applyProtection="1">
      <alignment horizontal="left"/>
      <protection hidden="1"/>
    </xf>
    <xf numFmtId="1" fontId="35" fillId="0" borderId="1" xfId="0" applyNumberFormat="1" applyFont="1" applyBorder="1" applyAlignment="1" applyProtection="1">
      <alignment horizontal="left"/>
      <protection hidden="1"/>
    </xf>
    <xf numFmtId="0" fontId="15" fillId="0" borderId="0" xfId="0" applyFont="1" applyBorder="1" applyAlignment="1" applyProtection="1">
      <alignment horizontal="center"/>
      <protection hidden="1"/>
    </xf>
    <xf numFmtId="0" fontId="13" fillId="0" borderId="0" xfId="0" applyFont="1" applyBorder="1" applyProtection="1">
      <protection hidden="1"/>
    </xf>
    <xf numFmtId="0" fontId="13" fillId="0" borderId="21" xfId="0" applyFont="1" applyBorder="1" applyAlignment="1" applyProtection="1">
      <alignment horizontal="center"/>
      <protection hidden="1"/>
    </xf>
    <xf numFmtId="0" fontId="13" fillId="0" borderId="22" xfId="0" applyFont="1" applyBorder="1" applyProtection="1">
      <protection hidden="1"/>
    </xf>
    <xf numFmtId="0" fontId="13" fillId="0" borderId="17" xfId="0" applyFont="1" applyBorder="1" applyProtection="1">
      <protection hidden="1"/>
    </xf>
    <xf numFmtId="0" fontId="15" fillId="8" borderId="47" xfId="0" applyFont="1" applyFill="1" applyBorder="1" applyAlignment="1" applyProtection="1">
      <alignment horizontal="left"/>
      <protection hidden="1"/>
    </xf>
    <xf numFmtId="0" fontId="13" fillId="8" borderId="1" xfId="0" applyFont="1" applyFill="1" applyBorder="1" applyAlignment="1" applyProtection="1">
      <alignment horizontal="left"/>
      <protection hidden="1"/>
    </xf>
    <xf numFmtId="0" fontId="0" fillId="0" borderId="40" xfId="0" applyBorder="1" applyProtection="1">
      <protection hidden="1"/>
    </xf>
    <xf numFmtId="0" fontId="13" fillId="0" borderId="43" xfId="0" applyFont="1" applyBorder="1" applyProtection="1">
      <protection hidden="1"/>
    </xf>
    <xf numFmtId="0" fontId="71" fillId="0" borderId="42" xfId="0" applyFont="1" applyBorder="1" applyAlignment="1" applyProtection="1">
      <alignment vertical="center"/>
      <protection locked="0"/>
    </xf>
    <xf numFmtId="0" fontId="15" fillId="0" borderId="38" xfId="0" applyFont="1" applyBorder="1" applyAlignment="1" applyProtection="1">
      <alignment horizontal="center"/>
      <protection hidden="1"/>
    </xf>
    <xf numFmtId="0" fontId="12" fillId="0" borderId="39" xfId="0" applyFont="1" applyBorder="1" applyAlignment="1" applyProtection="1">
      <protection hidden="1"/>
    </xf>
    <xf numFmtId="0" fontId="0" fillId="0" borderId="42" xfId="0" applyBorder="1" applyAlignment="1" applyProtection="1">
      <protection hidden="1"/>
    </xf>
    <xf numFmtId="0" fontId="85" fillId="0" borderId="21" xfId="0" applyFont="1" applyBorder="1" applyAlignment="1" applyProtection="1">
      <alignment horizontal="center" vertical="center"/>
      <protection hidden="1"/>
    </xf>
    <xf numFmtId="0" fontId="35" fillId="0" borderId="0" xfId="0" applyFont="1" applyAlignment="1" applyProtection="1">
      <protection hidden="1"/>
    </xf>
    <xf numFmtId="49" fontId="73" fillId="0" borderId="23" xfId="0" applyNumberFormat="1" applyFont="1" applyBorder="1" applyAlignment="1" applyProtection="1">
      <alignment vertical="center"/>
      <protection hidden="1"/>
    </xf>
    <xf numFmtId="49" fontId="73" fillId="0" borderId="9" xfId="0" applyNumberFormat="1" applyFont="1" applyBorder="1" applyAlignment="1" applyProtection="1">
      <alignment vertical="center"/>
      <protection hidden="1"/>
    </xf>
    <xf numFmtId="0" fontId="35" fillId="0" borderId="76" xfId="0" applyFont="1" applyBorder="1" applyAlignment="1" applyProtection="1">
      <protection locked="0"/>
    </xf>
    <xf numFmtId="0" fontId="35" fillId="0" borderId="18" xfId="0" applyFont="1" applyBorder="1" applyAlignment="1" applyProtection="1">
      <protection hidden="1"/>
    </xf>
    <xf numFmtId="0" fontId="40" fillId="14" borderId="40" xfId="0" applyFont="1" applyFill="1" applyBorder="1" applyAlignment="1" applyProtection="1">
      <alignment vertical="center"/>
      <protection hidden="1"/>
    </xf>
    <xf numFmtId="0" fontId="40" fillId="14" borderId="0" xfId="0" applyFont="1" applyFill="1" applyBorder="1" applyAlignment="1" applyProtection="1">
      <alignment vertical="center"/>
      <protection hidden="1"/>
    </xf>
    <xf numFmtId="0" fontId="117" fillId="3" borderId="40" xfId="0" applyFont="1" applyFill="1" applyBorder="1" applyAlignment="1" applyProtection="1">
      <alignment vertical="center" wrapText="1"/>
      <protection hidden="1"/>
    </xf>
    <xf numFmtId="0" fontId="117" fillId="3" borderId="0" xfId="0" applyFont="1" applyFill="1" applyBorder="1" applyAlignment="1" applyProtection="1">
      <alignment vertical="center" wrapText="1"/>
      <protection hidden="1"/>
    </xf>
    <xf numFmtId="0" fontId="117" fillId="3" borderId="17" xfId="0" applyFont="1" applyFill="1" applyBorder="1" applyAlignment="1" applyProtection="1">
      <alignment vertical="center" wrapText="1"/>
      <protection hidden="1"/>
    </xf>
    <xf numFmtId="0" fontId="118" fillId="9" borderId="40" xfId="3" applyFont="1" applyBorder="1" applyAlignment="1" applyProtection="1">
      <alignment vertical="center"/>
      <protection hidden="1"/>
    </xf>
    <xf numFmtId="0" fontId="118" fillId="9" borderId="17" xfId="3" applyFont="1" applyBorder="1" applyAlignment="1" applyProtection="1">
      <alignment vertical="center"/>
      <protection hidden="1"/>
    </xf>
    <xf numFmtId="0" fontId="35" fillId="0" borderId="0" xfId="0" applyFont="1" applyAlignment="1" applyProtection="1">
      <protection locked="0"/>
    </xf>
    <xf numFmtId="0" fontId="79" fillId="0" borderId="42" xfId="0" applyFont="1" applyBorder="1" applyAlignment="1" applyProtection="1">
      <alignment vertical="center"/>
      <protection locked="0"/>
    </xf>
    <xf numFmtId="0" fontId="76" fillId="0" borderId="60" xfId="2" applyFont="1" applyBorder="1" applyAlignment="1" applyProtection="1">
      <alignment horizontal="center" vertical="center"/>
      <protection locked="0"/>
    </xf>
    <xf numFmtId="0" fontId="76" fillId="0" borderId="1" xfId="2"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0" fontId="79" fillId="0" borderId="18" xfId="0" applyFont="1" applyBorder="1" applyAlignment="1" applyProtection="1">
      <alignment horizontal="center" vertical="center"/>
      <protection hidden="1"/>
    </xf>
    <xf numFmtId="0" fontId="79" fillId="0" borderId="19" xfId="0" applyFont="1" applyBorder="1" applyAlignment="1" applyProtection="1">
      <alignment horizontal="center" vertical="center"/>
      <protection hidden="1"/>
    </xf>
    <xf numFmtId="0" fontId="79" fillId="0" borderId="20" xfId="0" applyFont="1" applyBorder="1" applyAlignment="1" applyProtection="1">
      <alignment horizontal="center" vertical="center"/>
      <protection hidden="1"/>
    </xf>
    <xf numFmtId="0" fontId="79" fillId="0" borderId="40" xfId="0" applyFont="1" applyBorder="1" applyAlignment="1" applyProtection="1">
      <alignment horizontal="center" vertical="center"/>
      <protection hidden="1"/>
    </xf>
    <xf numFmtId="0" fontId="79" fillId="0" borderId="0" xfId="0" applyFont="1" applyBorder="1" applyAlignment="1" applyProtection="1">
      <alignment horizontal="center" vertical="center"/>
      <protection hidden="1"/>
    </xf>
    <xf numFmtId="0" fontId="79" fillId="0" borderId="17" xfId="0" applyFont="1" applyBorder="1" applyAlignment="1" applyProtection="1">
      <alignment horizontal="center" vertical="center"/>
      <protection hidden="1"/>
    </xf>
    <xf numFmtId="0" fontId="79" fillId="0" borderId="42" xfId="0" applyFont="1" applyBorder="1" applyAlignment="1" applyProtection="1">
      <alignment horizontal="center" vertical="center"/>
      <protection hidden="1"/>
    </xf>
    <xf numFmtId="0" fontId="79" fillId="0" borderId="43" xfId="0" applyFont="1" applyBorder="1" applyAlignment="1" applyProtection="1">
      <alignment horizontal="center" vertical="center"/>
      <protection hidden="1"/>
    </xf>
    <xf numFmtId="0" fontId="118" fillId="9" borderId="40" xfId="3" applyFont="1" applyBorder="1" applyAlignment="1" applyProtection="1">
      <alignment horizontal="center" vertical="center"/>
      <protection hidden="1"/>
    </xf>
    <xf numFmtId="0" fontId="118" fillId="9" borderId="0" xfId="3" applyFont="1" applyBorder="1" applyAlignment="1" applyProtection="1">
      <alignment horizontal="center" vertical="center"/>
      <protection hidden="1"/>
    </xf>
    <xf numFmtId="0" fontId="118" fillId="9" borderId="17" xfId="3" applyFont="1" applyBorder="1" applyAlignment="1" applyProtection="1">
      <alignment horizontal="center" vertical="center"/>
      <protection hidden="1"/>
    </xf>
    <xf numFmtId="0" fontId="57" fillId="4" borderId="18" xfId="0" applyFont="1" applyFill="1" applyBorder="1" applyAlignment="1" applyProtection="1">
      <alignment horizontal="center"/>
      <protection hidden="1"/>
    </xf>
    <xf numFmtId="0" fontId="57" fillId="4" borderId="19" xfId="0" applyFont="1" applyFill="1" applyBorder="1" applyAlignment="1" applyProtection="1">
      <alignment horizontal="center"/>
      <protection hidden="1"/>
    </xf>
    <xf numFmtId="0" fontId="57" fillId="4" borderId="20" xfId="0" applyFont="1" applyFill="1" applyBorder="1" applyAlignment="1" applyProtection="1">
      <alignment horizontal="center"/>
      <protection hidden="1"/>
    </xf>
    <xf numFmtId="0" fontId="106" fillId="9" borderId="0" xfId="3" applyFont="1" applyBorder="1" applyAlignment="1" applyProtection="1">
      <alignment horizontal="center" vertical="center"/>
      <protection hidden="1"/>
    </xf>
    <xf numFmtId="0" fontId="106" fillId="9" borderId="17" xfId="3" applyFont="1" applyBorder="1" applyAlignment="1" applyProtection="1">
      <alignment horizontal="center" vertical="center"/>
      <protection hidden="1"/>
    </xf>
    <xf numFmtId="0" fontId="84" fillId="0" borderId="1" xfId="0" applyFont="1" applyBorder="1" applyAlignment="1" applyProtection="1">
      <alignment horizontal="left" vertical="top" wrapText="1"/>
      <protection hidden="1"/>
    </xf>
    <xf numFmtId="0" fontId="84" fillId="0" borderId="22" xfId="0" applyFont="1" applyBorder="1" applyAlignment="1" applyProtection="1">
      <alignment horizontal="left" vertical="top" wrapText="1"/>
      <protection hidden="1"/>
    </xf>
    <xf numFmtId="0" fontId="83" fillId="0" borderId="1" xfId="0" applyFont="1" applyBorder="1" applyAlignment="1" applyProtection="1">
      <alignment horizontal="left" vertical="top" wrapText="1"/>
      <protection hidden="1"/>
    </xf>
    <xf numFmtId="0" fontId="83" fillId="0" borderId="22" xfId="0" applyFont="1" applyBorder="1" applyAlignment="1" applyProtection="1">
      <alignment horizontal="left" vertical="top" wrapText="1"/>
      <protection hidden="1"/>
    </xf>
    <xf numFmtId="0" fontId="85" fillId="0" borderId="1" xfId="0" applyFont="1" applyBorder="1" applyAlignment="1" applyProtection="1">
      <alignment horizontal="left" vertical="center"/>
      <protection hidden="1"/>
    </xf>
    <xf numFmtId="0" fontId="11" fillId="14" borderId="25" xfId="0" applyFont="1" applyFill="1" applyBorder="1" applyAlignment="1" applyProtection="1">
      <alignment horizontal="center" vertical="center"/>
      <protection hidden="1"/>
    </xf>
    <xf numFmtId="0" fontId="11" fillId="14" borderId="6" xfId="0" applyFont="1" applyFill="1" applyBorder="1" applyAlignment="1" applyProtection="1">
      <alignment horizontal="center" vertical="center"/>
      <protection hidden="1"/>
    </xf>
    <xf numFmtId="0" fontId="11" fillId="14" borderId="44" xfId="0" applyFont="1" applyFill="1" applyBorder="1" applyAlignment="1" applyProtection="1">
      <alignment horizontal="center" vertical="center"/>
      <protection hidden="1"/>
    </xf>
    <xf numFmtId="0" fontId="11" fillId="14" borderId="40" xfId="0" applyFont="1" applyFill="1" applyBorder="1" applyAlignment="1" applyProtection="1">
      <alignment horizontal="center" vertical="center"/>
      <protection hidden="1"/>
    </xf>
    <xf numFmtId="0" fontId="11" fillId="14" borderId="0" xfId="0" applyFont="1" applyFill="1" applyBorder="1" applyAlignment="1" applyProtection="1">
      <alignment horizontal="center" vertical="center"/>
      <protection hidden="1"/>
    </xf>
    <xf numFmtId="0" fontId="11" fillId="14" borderId="17" xfId="0" applyFont="1" applyFill="1" applyBorder="1" applyAlignment="1" applyProtection="1">
      <alignment horizontal="center" vertical="center"/>
      <protection hidden="1"/>
    </xf>
    <xf numFmtId="0" fontId="79" fillId="0" borderId="41" xfId="0" applyFont="1" applyBorder="1" applyAlignment="1" applyProtection="1">
      <alignment horizontal="center" vertical="center"/>
      <protection hidden="1"/>
    </xf>
    <xf numFmtId="0" fontId="87" fillId="10" borderId="21" xfId="4" applyFont="1" applyBorder="1" applyAlignment="1" applyProtection="1">
      <alignment horizontal="center" vertical="top"/>
      <protection hidden="1"/>
    </xf>
    <xf numFmtId="0" fontId="87" fillId="10" borderId="1" xfId="4" applyFont="1" applyBorder="1" applyAlignment="1" applyProtection="1">
      <alignment horizontal="center" vertical="top"/>
      <protection hidden="1"/>
    </xf>
    <xf numFmtId="0" fontId="87" fillId="10" borderId="22" xfId="4" applyFont="1" applyBorder="1" applyAlignment="1" applyProtection="1">
      <alignment horizontal="center" vertical="top"/>
      <protection hidden="1"/>
    </xf>
    <xf numFmtId="0" fontId="84" fillId="0" borderId="21" xfId="0" applyFont="1" applyBorder="1" applyAlignment="1" applyProtection="1">
      <alignment horizontal="center" vertical="top"/>
      <protection hidden="1"/>
    </xf>
    <xf numFmtId="0" fontId="84" fillId="0" borderId="1" xfId="0" applyFont="1" applyBorder="1" applyAlignment="1" applyProtection="1">
      <alignment horizontal="center" vertical="top"/>
      <protection hidden="1"/>
    </xf>
    <xf numFmtId="0" fontId="85" fillId="0" borderId="21" xfId="0" applyFont="1" applyBorder="1" applyAlignment="1" applyProtection="1">
      <alignment horizontal="center" vertical="center"/>
      <protection hidden="1"/>
    </xf>
    <xf numFmtId="0" fontId="88" fillId="10" borderId="21" xfId="4" applyFont="1" applyBorder="1" applyAlignment="1" applyProtection="1">
      <alignment horizontal="center" vertical="center"/>
      <protection hidden="1"/>
    </xf>
    <xf numFmtId="0" fontId="88" fillId="10" borderId="1" xfId="4" applyFont="1" applyBorder="1" applyAlignment="1" applyProtection="1">
      <alignment horizontal="center" vertical="center"/>
      <protection hidden="1"/>
    </xf>
    <xf numFmtId="0" fontId="112" fillId="14" borderId="54" xfId="0" applyFont="1" applyFill="1" applyBorder="1" applyAlignment="1" applyProtection="1">
      <alignment horizontal="center" vertical="top" wrapText="1"/>
      <protection hidden="1"/>
    </xf>
    <xf numFmtId="0" fontId="112" fillId="14" borderId="55" xfId="0" applyFont="1" applyFill="1" applyBorder="1" applyAlignment="1" applyProtection="1">
      <alignment horizontal="center" vertical="top" wrapText="1"/>
      <protection hidden="1"/>
    </xf>
    <xf numFmtId="0" fontId="112" fillId="14" borderId="56" xfId="0" applyFont="1" applyFill="1" applyBorder="1" applyAlignment="1" applyProtection="1">
      <alignment horizontal="center" vertical="top" wrapText="1"/>
      <protection hidden="1"/>
    </xf>
    <xf numFmtId="0" fontId="40" fillId="14" borderId="0" xfId="0" applyFont="1" applyFill="1" applyBorder="1" applyAlignment="1" applyProtection="1">
      <alignment horizontal="center" vertical="top" wrapText="1"/>
      <protection hidden="1"/>
    </xf>
    <xf numFmtId="0" fontId="40" fillId="14" borderId="17" xfId="0" applyFont="1" applyFill="1" applyBorder="1" applyAlignment="1" applyProtection="1">
      <alignment horizontal="center" vertical="top" wrapText="1"/>
      <protection hidden="1"/>
    </xf>
    <xf numFmtId="0" fontId="15" fillId="23" borderId="54" xfId="0" applyFont="1" applyFill="1" applyBorder="1" applyAlignment="1" applyProtection="1">
      <alignment horizontal="center" vertical="center" wrapText="1"/>
      <protection hidden="1"/>
    </xf>
    <xf numFmtId="0" fontId="15" fillId="23" borderId="55" xfId="0" applyFont="1" applyFill="1" applyBorder="1" applyAlignment="1" applyProtection="1">
      <alignment horizontal="center" vertical="center" wrapText="1"/>
      <protection hidden="1"/>
    </xf>
    <xf numFmtId="0" fontId="15" fillId="23" borderId="56" xfId="0" applyFont="1" applyFill="1" applyBorder="1" applyAlignment="1" applyProtection="1">
      <alignment horizontal="center" vertical="center" wrapText="1"/>
      <protection hidden="1"/>
    </xf>
    <xf numFmtId="0" fontId="105" fillId="22" borderId="54" xfId="0" applyFont="1" applyFill="1" applyBorder="1" applyAlignment="1" applyProtection="1">
      <alignment horizontal="center" vertical="center"/>
      <protection hidden="1"/>
    </xf>
    <xf numFmtId="0" fontId="105" fillId="22" borderId="56" xfId="0" applyFont="1" applyFill="1" applyBorder="1" applyAlignment="1" applyProtection="1">
      <alignment horizontal="center" vertical="center"/>
      <protection hidden="1"/>
    </xf>
    <xf numFmtId="0" fontId="117" fillId="3" borderId="18" xfId="0" applyFont="1" applyFill="1" applyBorder="1" applyAlignment="1" applyProtection="1">
      <alignment horizontal="center" vertical="center" wrapText="1"/>
      <protection hidden="1"/>
    </xf>
    <xf numFmtId="0" fontId="117" fillId="3" borderId="19" xfId="0" applyFont="1" applyFill="1" applyBorder="1" applyAlignment="1" applyProtection="1">
      <alignment horizontal="center" vertical="center" wrapText="1"/>
      <protection hidden="1"/>
    </xf>
    <xf numFmtId="0" fontId="117" fillId="3" borderId="20" xfId="0" applyFont="1" applyFill="1" applyBorder="1" applyAlignment="1" applyProtection="1">
      <alignment horizontal="center" vertical="center" wrapText="1"/>
      <protection hidden="1"/>
    </xf>
    <xf numFmtId="0" fontId="117" fillId="3" borderId="40" xfId="0" applyFont="1" applyFill="1" applyBorder="1" applyAlignment="1" applyProtection="1">
      <alignment horizontal="center" vertical="center" wrapText="1"/>
      <protection hidden="1"/>
    </xf>
    <xf numFmtId="0" fontId="117" fillId="3" borderId="0" xfId="0" applyFont="1" applyFill="1" applyBorder="1" applyAlignment="1" applyProtection="1">
      <alignment horizontal="center" vertical="center" wrapText="1"/>
      <protection hidden="1"/>
    </xf>
    <xf numFmtId="0" fontId="117" fillId="3" borderId="17" xfId="0" applyFont="1" applyFill="1" applyBorder="1" applyAlignment="1" applyProtection="1">
      <alignment horizontal="center" vertical="center" wrapText="1"/>
      <protection hidden="1"/>
    </xf>
    <xf numFmtId="0" fontId="117" fillId="3" borderId="41" xfId="0" applyFont="1" applyFill="1" applyBorder="1" applyAlignment="1" applyProtection="1">
      <alignment horizontal="center" vertical="center" wrapText="1"/>
      <protection hidden="1"/>
    </xf>
    <xf numFmtId="0" fontId="117" fillId="3" borderId="42" xfId="0" applyFont="1" applyFill="1" applyBorder="1" applyAlignment="1" applyProtection="1">
      <alignment horizontal="center" vertical="center" wrapText="1"/>
      <protection hidden="1"/>
    </xf>
    <xf numFmtId="0" fontId="96" fillId="3" borderId="42" xfId="0" applyFont="1" applyFill="1" applyBorder="1" applyAlignment="1" applyProtection="1">
      <alignment horizontal="center" vertical="center" wrapText="1"/>
      <protection hidden="1"/>
    </xf>
    <xf numFmtId="0" fontId="96" fillId="3" borderId="43" xfId="0" applyFont="1" applyFill="1" applyBorder="1" applyAlignment="1" applyProtection="1">
      <alignment horizontal="center" vertical="center" wrapText="1"/>
      <protection hidden="1"/>
    </xf>
    <xf numFmtId="0" fontId="105" fillId="3" borderId="18" xfId="0" applyFont="1" applyFill="1" applyBorder="1" applyAlignment="1" applyProtection="1">
      <alignment horizontal="center" vertical="center"/>
      <protection locked="0"/>
    </xf>
    <xf numFmtId="0" fontId="105" fillId="3" borderId="20" xfId="0" applyFont="1" applyFill="1" applyBorder="1" applyAlignment="1" applyProtection="1">
      <alignment horizontal="center" vertical="center"/>
      <protection locked="0"/>
    </xf>
    <xf numFmtId="0" fontId="105" fillId="3" borderId="40" xfId="0" applyFont="1" applyFill="1" applyBorder="1" applyAlignment="1" applyProtection="1">
      <alignment horizontal="center" vertical="center"/>
      <protection locked="0"/>
    </xf>
    <xf numFmtId="0" fontId="105" fillId="3" borderId="17" xfId="0" applyFont="1" applyFill="1" applyBorder="1" applyAlignment="1" applyProtection="1">
      <alignment horizontal="center" vertical="center"/>
      <protection locked="0"/>
    </xf>
    <xf numFmtId="0" fontId="105" fillId="3" borderId="41" xfId="0" applyFont="1" applyFill="1" applyBorder="1" applyAlignment="1" applyProtection="1">
      <alignment horizontal="center" vertical="center"/>
      <protection locked="0"/>
    </xf>
    <xf numFmtId="0" fontId="105" fillId="3" borderId="43" xfId="0" applyFont="1" applyFill="1" applyBorder="1" applyAlignment="1" applyProtection="1">
      <alignment horizontal="center" vertical="center"/>
      <protection locked="0"/>
    </xf>
    <xf numFmtId="0" fontId="62" fillId="11" borderId="21" xfId="5" applyFont="1" applyBorder="1" applyAlignment="1" applyProtection="1">
      <alignment horizontal="center" vertical="center"/>
      <protection hidden="1"/>
    </xf>
    <xf numFmtId="0" fontId="62" fillId="11" borderId="1" xfId="5" applyFont="1" applyBorder="1" applyAlignment="1" applyProtection="1">
      <alignment horizontal="center" vertical="center"/>
      <protection hidden="1"/>
    </xf>
    <xf numFmtId="0" fontId="62" fillId="11" borderId="22" xfId="5" applyFont="1" applyBorder="1" applyAlignment="1" applyProtection="1">
      <alignment horizontal="center" vertical="center"/>
      <protection hidden="1"/>
    </xf>
    <xf numFmtId="0" fontId="30" fillId="4" borderId="72" xfId="3" applyFill="1" applyBorder="1" applyAlignment="1" applyProtection="1">
      <alignment horizontal="center"/>
      <protection locked="0"/>
    </xf>
    <xf numFmtId="0" fontId="30" fillId="4" borderId="73" xfId="3" applyFill="1" applyBorder="1" applyAlignment="1" applyProtection="1">
      <alignment horizontal="center"/>
      <protection locked="0"/>
    </xf>
    <xf numFmtId="0" fontId="82" fillId="4" borderId="0" xfId="0" applyFont="1" applyFill="1" applyBorder="1" applyAlignment="1" applyProtection="1">
      <alignment horizontal="center"/>
      <protection hidden="1"/>
    </xf>
    <xf numFmtId="0" fontId="82" fillId="4" borderId="17" xfId="0" applyFont="1" applyFill="1" applyBorder="1" applyAlignment="1" applyProtection="1">
      <alignment horizontal="center"/>
      <protection hidden="1"/>
    </xf>
    <xf numFmtId="0" fontId="35" fillId="0" borderId="40" xfId="0" applyFont="1" applyBorder="1" applyAlignment="1" applyProtection="1">
      <alignment horizontal="center"/>
      <protection hidden="1"/>
    </xf>
    <xf numFmtId="0" fontId="35" fillId="0" borderId="17" xfId="0" applyFont="1" applyBorder="1" applyAlignment="1" applyProtection="1">
      <alignment horizontal="center"/>
      <protection hidden="1"/>
    </xf>
    <xf numFmtId="0" fontId="35" fillId="0" borderId="74" xfId="0" applyFont="1" applyBorder="1" applyAlignment="1" applyProtection="1">
      <alignment horizontal="center"/>
      <protection hidden="1"/>
    </xf>
    <xf numFmtId="0" fontId="35" fillId="0" borderId="75" xfId="0" applyFont="1" applyBorder="1" applyAlignment="1" applyProtection="1">
      <alignment horizontal="center"/>
      <protection hidden="1"/>
    </xf>
    <xf numFmtId="0" fontId="35" fillId="0" borderId="76" xfId="0" applyFont="1" applyBorder="1" applyAlignment="1" applyProtection="1">
      <alignment horizontal="center"/>
      <protection hidden="1"/>
    </xf>
    <xf numFmtId="0" fontId="54" fillId="0" borderId="18" xfId="0" applyFont="1" applyBorder="1" applyAlignment="1" applyProtection="1">
      <alignment horizontal="left" vertical="center" wrapText="1"/>
      <protection hidden="1"/>
    </xf>
    <xf numFmtId="0" fontId="54" fillId="0" borderId="19" xfId="0" applyFont="1" applyBorder="1" applyAlignment="1" applyProtection="1">
      <alignment horizontal="left" vertical="center" wrapText="1"/>
      <protection hidden="1"/>
    </xf>
    <xf numFmtId="0" fontId="54" fillId="0" borderId="20" xfId="0" applyFont="1" applyBorder="1" applyAlignment="1" applyProtection="1">
      <alignment horizontal="left" vertical="center" wrapText="1"/>
      <protection hidden="1"/>
    </xf>
    <xf numFmtId="0" fontId="54" fillId="0" borderId="27" xfId="0" applyFont="1" applyBorder="1" applyAlignment="1" applyProtection="1">
      <alignment horizontal="left" vertical="center" wrapText="1"/>
      <protection hidden="1"/>
    </xf>
    <xf numFmtId="0" fontId="54" fillId="0" borderId="5" xfId="0" applyFont="1" applyBorder="1" applyAlignment="1" applyProtection="1">
      <alignment horizontal="left" vertical="center" wrapText="1"/>
      <protection hidden="1"/>
    </xf>
    <xf numFmtId="0" fontId="54" fillId="0" borderId="28" xfId="0" applyFont="1" applyBorder="1" applyAlignment="1" applyProtection="1">
      <alignment horizontal="left" vertical="center" wrapText="1"/>
      <protection hidden="1"/>
    </xf>
    <xf numFmtId="0" fontId="14" fillId="0" borderId="54"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0" fontId="14" fillId="0" borderId="56" xfId="0" applyFont="1" applyBorder="1" applyAlignment="1" applyProtection="1">
      <alignment horizontal="center" vertical="center"/>
      <protection hidden="1"/>
    </xf>
    <xf numFmtId="0" fontId="84" fillId="0" borderId="1" xfId="0" applyFont="1" applyBorder="1" applyAlignment="1" applyProtection="1">
      <alignment horizontal="left" vertical="center"/>
      <protection hidden="1"/>
    </xf>
    <xf numFmtId="0" fontId="84" fillId="0" borderId="21" xfId="0" applyFont="1" applyBorder="1" applyAlignment="1" applyProtection="1">
      <alignment horizontal="center" vertical="center"/>
      <protection hidden="1"/>
    </xf>
    <xf numFmtId="0" fontId="83" fillId="0" borderId="1" xfId="0" applyFont="1" applyBorder="1" applyAlignment="1" applyProtection="1">
      <alignment horizontal="center" vertical="center"/>
      <protection hidden="1"/>
    </xf>
    <xf numFmtId="0" fontId="83" fillId="0" borderId="22" xfId="0" applyFont="1" applyBorder="1" applyAlignment="1" applyProtection="1">
      <alignment horizontal="center" vertical="center"/>
      <protection hidden="1"/>
    </xf>
    <xf numFmtId="0" fontId="84" fillId="0" borderId="1" xfId="0" applyFont="1" applyBorder="1" applyAlignment="1" applyProtection="1">
      <alignment horizontal="left" vertical="center" wrapText="1"/>
      <protection hidden="1"/>
    </xf>
    <xf numFmtId="0" fontId="84" fillId="0" borderId="22" xfId="0" applyFont="1" applyBorder="1" applyAlignment="1" applyProtection="1">
      <alignment horizontal="left" vertical="center" wrapText="1"/>
      <protection hidden="1"/>
    </xf>
    <xf numFmtId="0" fontId="35" fillId="4" borderId="1" xfId="0" applyFont="1" applyFill="1" applyBorder="1" applyAlignment="1" applyProtection="1">
      <alignment horizontal="left" vertical="top" wrapText="1"/>
      <protection hidden="1"/>
    </xf>
    <xf numFmtId="0" fontId="35" fillId="4" borderId="22" xfId="0" applyFont="1" applyFill="1" applyBorder="1" applyAlignment="1" applyProtection="1">
      <alignment horizontal="left" vertical="top" wrapText="1"/>
      <protection hidden="1"/>
    </xf>
    <xf numFmtId="0" fontId="89" fillId="0" borderId="1" xfId="0" applyFont="1" applyBorder="1" applyAlignment="1" applyProtection="1">
      <alignment horizontal="left" vertical="center"/>
      <protection hidden="1"/>
    </xf>
    <xf numFmtId="0" fontId="83" fillId="0" borderId="1" xfId="0" applyFont="1" applyBorder="1" applyAlignment="1" applyProtection="1">
      <alignment horizontal="left" vertical="center"/>
      <protection hidden="1"/>
    </xf>
    <xf numFmtId="0" fontId="83" fillId="0" borderId="22" xfId="0" applyFont="1" applyBorder="1" applyAlignment="1" applyProtection="1">
      <alignment horizontal="left" vertical="center"/>
      <protection hidden="1"/>
    </xf>
    <xf numFmtId="0" fontId="37" fillId="11" borderId="21" xfId="5" applyBorder="1" applyProtection="1">
      <protection hidden="1"/>
    </xf>
    <xf numFmtId="0" fontId="37" fillId="11" borderId="1" xfId="5" applyBorder="1" applyProtection="1">
      <protection hidden="1"/>
    </xf>
    <xf numFmtId="0" fontId="37" fillId="11" borderId="22" xfId="5" applyBorder="1" applyProtection="1">
      <protection hidden="1"/>
    </xf>
    <xf numFmtId="0" fontId="85" fillId="0" borderId="1"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8" fillId="0" borderId="19" xfId="0" applyFont="1" applyBorder="1" applyAlignment="1" applyProtection="1">
      <alignment horizontal="center"/>
      <protection hidden="1"/>
    </xf>
    <xf numFmtId="0" fontId="70" fillId="0" borderId="0" xfId="0" applyFont="1" applyAlignment="1" applyProtection="1">
      <alignment horizontal="center" vertical="center"/>
      <protection hidden="1"/>
    </xf>
    <xf numFmtId="0" fontId="4" fillId="12" borderId="19" xfId="0" applyFont="1" applyFill="1" applyBorder="1" applyAlignment="1" applyProtection="1">
      <alignment horizontal="center" vertical="top" wrapText="1"/>
      <protection hidden="1"/>
    </xf>
    <xf numFmtId="0" fontId="4" fillId="12" borderId="0" xfId="0" applyFont="1" applyFill="1" applyAlignment="1" applyProtection="1">
      <alignment horizontal="center" vertical="top" wrapText="1"/>
      <protection hidden="1"/>
    </xf>
    <xf numFmtId="0" fontId="8" fillId="0" borderId="55" xfId="0" applyFont="1" applyBorder="1" applyAlignment="1" applyProtection="1">
      <alignment horizontal="center"/>
      <protection hidden="1"/>
    </xf>
    <xf numFmtId="0" fontId="100" fillId="5" borderId="59" xfId="0" applyFont="1" applyFill="1" applyBorder="1" applyAlignment="1" applyProtection="1">
      <alignment horizontal="center"/>
      <protection hidden="1"/>
    </xf>
    <xf numFmtId="0" fontId="100" fillId="5" borderId="60" xfId="0" applyFont="1" applyFill="1" applyBorder="1" applyAlignment="1" applyProtection="1">
      <alignment horizontal="center"/>
      <protection hidden="1"/>
    </xf>
    <xf numFmtId="0" fontId="100" fillId="5" borderId="63" xfId="0" applyFont="1" applyFill="1" applyBorder="1" applyAlignment="1" applyProtection="1">
      <alignment horizontal="center"/>
      <protection hidden="1"/>
    </xf>
    <xf numFmtId="0" fontId="15" fillId="15" borderId="21" xfId="0" applyFont="1" applyFill="1" applyBorder="1" applyAlignment="1" applyProtection="1">
      <alignment horizontal="left" wrapText="1"/>
      <protection hidden="1"/>
    </xf>
    <xf numFmtId="0" fontId="15" fillId="15" borderId="1" xfId="0" applyFont="1" applyFill="1" applyBorder="1" applyAlignment="1" applyProtection="1">
      <alignment horizontal="left" wrapText="1"/>
      <protection hidden="1"/>
    </xf>
    <xf numFmtId="0" fontId="15" fillId="15" borderId="22" xfId="0" applyFont="1" applyFill="1" applyBorder="1" applyAlignment="1" applyProtection="1">
      <alignment horizontal="left" wrapText="1"/>
      <protection hidden="1"/>
    </xf>
    <xf numFmtId="0" fontId="15" fillId="15" borderId="33" xfId="0" applyFont="1" applyFill="1" applyBorder="1" applyAlignment="1" applyProtection="1">
      <alignment horizontal="left" wrapText="1"/>
      <protection hidden="1"/>
    </xf>
    <xf numFmtId="0" fontId="15" fillId="15" borderId="34" xfId="0" applyFont="1" applyFill="1" applyBorder="1" applyAlignment="1" applyProtection="1">
      <alignment horizontal="left" wrapText="1"/>
      <protection hidden="1"/>
    </xf>
    <xf numFmtId="0" fontId="15" fillId="15" borderId="57" xfId="0" applyFont="1" applyFill="1" applyBorder="1" applyAlignment="1" applyProtection="1">
      <alignment horizontal="left" wrapText="1"/>
      <protection hidden="1"/>
    </xf>
    <xf numFmtId="0" fontId="4" fillId="4" borderId="60" xfId="0" applyFont="1" applyFill="1" applyBorder="1" applyAlignment="1" applyProtection="1">
      <alignment horizontal="left" vertical="top" wrapText="1"/>
      <protection hidden="1"/>
    </xf>
    <xf numFmtId="0" fontId="4" fillId="4" borderId="63" xfId="0" applyFont="1" applyFill="1" applyBorder="1" applyAlignment="1" applyProtection="1">
      <alignment horizontal="left" vertical="top" wrapText="1"/>
      <protection hidden="1"/>
    </xf>
    <xf numFmtId="0" fontId="4" fillId="4" borderId="1" xfId="0" applyFont="1" applyFill="1" applyBorder="1" applyAlignment="1" applyProtection="1">
      <alignment horizontal="left" vertical="top" wrapText="1"/>
      <protection hidden="1"/>
    </xf>
    <xf numFmtId="0" fontId="4" fillId="4" borderId="22" xfId="0" applyFont="1" applyFill="1" applyBorder="1" applyAlignment="1" applyProtection="1">
      <alignment horizontal="left" vertical="top" wrapText="1"/>
      <protection hidden="1"/>
    </xf>
    <xf numFmtId="0" fontId="4" fillId="4" borderId="34" xfId="0" applyFont="1" applyFill="1" applyBorder="1" applyAlignment="1" applyProtection="1">
      <alignment horizontal="left" vertical="top" wrapText="1"/>
      <protection hidden="1"/>
    </xf>
    <xf numFmtId="0" fontId="4" fillId="4" borderId="57" xfId="0" applyFont="1" applyFill="1" applyBorder="1" applyAlignment="1" applyProtection="1">
      <alignment horizontal="left" vertical="top" wrapText="1"/>
      <protection hidden="1"/>
    </xf>
    <xf numFmtId="0" fontId="108" fillId="4" borderId="59" xfId="0" applyFont="1" applyFill="1" applyBorder="1" applyAlignment="1" applyProtection="1">
      <alignment horizontal="center" vertical="center" wrapText="1"/>
      <protection hidden="1"/>
    </xf>
    <xf numFmtId="0" fontId="108" fillId="4" borderId="21" xfId="0" applyFont="1" applyFill="1" applyBorder="1" applyAlignment="1" applyProtection="1">
      <alignment horizontal="center" vertical="center" wrapText="1"/>
      <protection hidden="1"/>
    </xf>
    <xf numFmtId="0" fontId="108" fillId="4" borderId="33" xfId="0" applyFont="1" applyFill="1" applyBorder="1" applyAlignment="1" applyProtection="1">
      <alignment horizontal="center" vertical="center" wrapText="1"/>
      <protection hidden="1"/>
    </xf>
    <xf numFmtId="0" fontId="4" fillId="5" borderId="60" xfId="0" applyFont="1" applyFill="1" applyBorder="1" applyAlignment="1" applyProtection="1">
      <alignment horizontal="left" vertical="center" wrapText="1"/>
      <protection hidden="1"/>
    </xf>
    <xf numFmtId="0" fontId="4" fillId="5" borderId="63"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left" vertical="center" wrapText="1"/>
      <protection hidden="1"/>
    </xf>
    <xf numFmtId="0" fontId="4" fillId="5" borderId="22" xfId="0" applyFont="1" applyFill="1" applyBorder="1" applyAlignment="1" applyProtection="1">
      <alignment horizontal="left" vertical="center" wrapText="1"/>
      <protection hidden="1"/>
    </xf>
    <xf numFmtId="0" fontId="4" fillId="5" borderId="34" xfId="0" applyFont="1" applyFill="1" applyBorder="1" applyAlignment="1" applyProtection="1">
      <alignment horizontal="left" vertical="center" wrapText="1"/>
      <protection hidden="1"/>
    </xf>
    <xf numFmtId="0" fontId="4" fillId="5" borderId="57" xfId="0" applyFont="1" applyFill="1" applyBorder="1" applyAlignment="1" applyProtection="1">
      <alignment horizontal="left" vertical="center" wrapText="1"/>
      <protection hidden="1"/>
    </xf>
    <xf numFmtId="0" fontId="108" fillId="5" borderId="59" xfId="0" applyFont="1" applyFill="1" applyBorder="1" applyAlignment="1" applyProtection="1">
      <alignment horizontal="left" vertical="center" wrapText="1"/>
      <protection hidden="1"/>
    </xf>
    <xf numFmtId="0" fontId="108" fillId="5" borderId="21" xfId="0" applyFont="1" applyFill="1" applyBorder="1" applyAlignment="1" applyProtection="1">
      <alignment horizontal="left" vertical="center" wrapText="1"/>
      <protection hidden="1"/>
    </xf>
    <xf numFmtId="0" fontId="108" fillId="5" borderId="33" xfId="0" applyFont="1" applyFill="1" applyBorder="1" applyAlignment="1" applyProtection="1">
      <alignment horizontal="left" vertical="center" wrapText="1"/>
      <protection hidden="1"/>
    </xf>
    <xf numFmtId="0" fontId="103" fillId="3" borderId="1" xfId="0" applyFont="1" applyFill="1" applyBorder="1" applyAlignment="1" applyProtection="1">
      <alignment horizontal="center"/>
      <protection hidden="1"/>
    </xf>
    <xf numFmtId="0" fontId="103" fillId="3" borderId="22" xfId="0" applyFont="1" applyFill="1" applyBorder="1" applyAlignment="1" applyProtection="1">
      <alignment horizontal="center"/>
      <protection hidden="1"/>
    </xf>
    <xf numFmtId="0" fontId="103" fillId="3" borderId="21" xfId="0" applyFont="1" applyFill="1" applyBorder="1" applyAlignment="1" applyProtection="1">
      <alignment horizontal="center"/>
      <protection hidden="1"/>
    </xf>
    <xf numFmtId="0" fontId="25" fillId="5" borderId="59" xfId="0" applyFont="1" applyFill="1" applyBorder="1" applyAlignment="1" applyProtection="1">
      <alignment horizontal="center"/>
      <protection hidden="1"/>
    </xf>
    <xf numFmtId="0" fontId="25" fillId="5" borderId="60" xfId="0" applyFont="1" applyFill="1" applyBorder="1" applyAlignment="1" applyProtection="1">
      <alignment horizontal="center"/>
      <protection hidden="1"/>
    </xf>
    <xf numFmtId="0" fontId="25" fillId="5" borderId="63" xfId="0" applyFont="1" applyFill="1" applyBorder="1" applyAlignment="1" applyProtection="1">
      <alignment horizontal="center"/>
      <protection hidden="1"/>
    </xf>
    <xf numFmtId="0" fontId="103" fillId="20" borderId="21" xfId="0" applyFont="1" applyFill="1" applyBorder="1" applyAlignment="1" applyProtection="1">
      <alignment horizontal="center"/>
      <protection hidden="1"/>
    </xf>
    <xf numFmtId="0" fontId="103" fillId="20" borderId="1" xfId="0" applyFont="1" applyFill="1" applyBorder="1" applyAlignment="1" applyProtection="1">
      <alignment horizontal="center"/>
      <protection hidden="1"/>
    </xf>
    <xf numFmtId="0" fontId="103" fillId="20" borderId="33" xfId="0" applyFont="1" applyFill="1" applyBorder="1" applyAlignment="1" applyProtection="1">
      <alignment horizontal="center"/>
      <protection hidden="1"/>
    </xf>
    <xf numFmtId="0" fontId="103" fillId="20" borderId="34" xfId="0" applyFont="1" applyFill="1" applyBorder="1" applyAlignment="1" applyProtection="1">
      <alignment horizontal="center"/>
      <protection hidden="1"/>
    </xf>
    <xf numFmtId="0" fontId="103" fillId="15" borderId="1" xfId="0" applyFont="1" applyFill="1" applyBorder="1" applyAlignment="1" applyProtection="1">
      <alignment horizontal="center"/>
      <protection hidden="1"/>
    </xf>
    <xf numFmtId="0" fontId="103" fillId="15" borderId="22" xfId="0" applyFont="1" applyFill="1" applyBorder="1" applyAlignment="1" applyProtection="1">
      <alignment horizontal="center"/>
      <protection hidden="1"/>
    </xf>
    <xf numFmtId="9" fontId="103" fillId="15" borderId="1" xfId="0" applyNumberFormat="1" applyFont="1" applyFill="1" applyBorder="1" applyAlignment="1" applyProtection="1">
      <alignment horizontal="center"/>
      <protection hidden="1"/>
    </xf>
    <xf numFmtId="9" fontId="103" fillId="15" borderId="34" xfId="0" applyNumberFormat="1" applyFont="1" applyFill="1" applyBorder="1" applyAlignment="1" applyProtection="1">
      <alignment horizontal="center"/>
      <protection hidden="1"/>
    </xf>
    <xf numFmtId="0" fontId="103" fillId="15" borderId="34" xfId="0" applyFont="1" applyFill="1" applyBorder="1" applyAlignment="1" applyProtection="1">
      <alignment horizontal="center"/>
      <protection hidden="1"/>
    </xf>
    <xf numFmtId="0" fontId="103" fillId="15" borderId="57" xfId="0" applyFont="1" applyFill="1" applyBorder="1" applyAlignment="1" applyProtection="1">
      <alignment horizontal="center"/>
      <protection hidden="1"/>
    </xf>
    <xf numFmtId="2" fontId="8" fillId="19" borderId="1" xfId="0" applyNumberFormat="1" applyFont="1" applyFill="1" applyBorder="1" applyAlignment="1" applyProtection="1">
      <alignment horizontal="center"/>
      <protection locked="0"/>
    </xf>
    <xf numFmtId="2" fontId="6" fillId="0" borderId="1" xfId="0" applyNumberFormat="1" applyFont="1" applyBorder="1" applyAlignment="1" applyProtection="1">
      <alignment horizontal="center" vertical="center"/>
      <protection hidden="1"/>
    </xf>
    <xf numFmtId="2" fontId="8" fillId="0" borderId="22" xfId="0" applyNumberFormat="1" applyFont="1" applyBorder="1" applyAlignment="1" applyProtection="1">
      <alignment horizontal="center" vertical="center"/>
      <protection hidden="1"/>
    </xf>
    <xf numFmtId="2" fontId="8" fillId="0" borderId="1" xfId="0" applyNumberFormat="1" applyFont="1" applyBorder="1" applyAlignment="1" applyProtection="1">
      <alignment horizontal="center" vertical="center"/>
      <protection hidden="1"/>
    </xf>
    <xf numFmtId="0" fontId="15" fillId="5" borderId="69" xfId="0" applyFont="1" applyFill="1" applyBorder="1" applyAlignment="1" applyProtection="1">
      <alignment horizontal="center"/>
      <protection hidden="1"/>
    </xf>
    <xf numFmtId="0" fontId="15" fillId="5" borderId="70" xfId="0" applyFont="1" applyFill="1" applyBorder="1" applyAlignment="1" applyProtection="1">
      <alignment horizontal="center"/>
      <protection hidden="1"/>
    </xf>
    <xf numFmtId="0" fontId="15" fillId="5" borderId="71" xfId="0" applyFont="1" applyFill="1" applyBorder="1" applyAlignment="1" applyProtection="1">
      <alignment horizontal="center"/>
      <protection hidden="1"/>
    </xf>
    <xf numFmtId="2" fontId="6" fillId="0" borderId="34" xfId="0" applyNumberFormat="1" applyFont="1" applyBorder="1" applyAlignment="1" applyProtection="1">
      <alignment horizontal="center" vertical="center"/>
      <protection hidden="1"/>
    </xf>
    <xf numFmtId="2" fontId="8" fillId="0" borderId="34" xfId="0" applyNumberFormat="1" applyFont="1" applyBorder="1" applyAlignment="1" applyProtection="1">
      <alignment horizontal="center" vertical="center"/>
      <protection hidden="1"/>
    </xf>
    <xf numFmtId="2" fontId="8" fillId="0" borderId="57" xfId="0" applyNumberFormat="1" applyFont="1" applyBorder="1" applyAlignment="1" applyProtection="1">
      <alignment horizontal="center" vertical="center"/>
      <protection hidden="1"/>
    </xf>
    <xf numFmtId="0" fontId="6" fillId="4" borderId="59" xfId="0" applyFont="1" applyFill="1" applyBorder="1" applyAlignment="1" applyProtection="1">
      <alignment horizontal="center" wrapText="1"/>
      <protection hidden="1"/>
    </xf>
    <xf numFmtId="0" fontId="6" fillId="4" borderId="21" xfId="0" applyFont="1" applyFill="1" applyBorder="1" applyAlignment="1" applyProtection="1">
      <alignment horizontal="center" wrapText="1"/>
      <protection hidden="1"/>
    </xf>
    <xf numFmtId="0" fontId="5" fillId="15" borderId="60" xfId="0" applyFont="1" applyFill="1" applyBorder="1" applyAlignment="1" applyProtection="1">
      <alignment horizontal="center" wrapText="1"/>
      <protection hidden="1"/>
    </xf>
    <xf numFmtId="0" fontId="6" fillId="15" borderId="60" xfId="0" applyFont="1" applyFill="1" applyBorder="1" applyAlignment="1" applyProtection="1">
      <alignment horizontal="center" wrapText="1"/>
      <protection hidden="1"/>
    </xf>
    <xf numFmtId="0" fontId="6" fillId="15" borderId="1" xfId="0" applyFont="1" applyFill="1" applyBorder="1" applyAlignment="1" applyProtection="1">
      <alignment horizontal="center" wrapText="1"/>
      <protection hidden="1"/>
    </xf>
    <xf numFmtId="0" fontId="5" fillId="3" borderId="60" xfId="0" applyFont="1" applyFill="1" applyBorder="1" applyAlignment="1" applyProtection="1">
      <alignment horizontal="center" wrapText="1"/>
      <protection hidden="1"/>
    </xf>
    <xf numFmtId="0" fontId="6" fillId="3" borderId="60" xfId="0" applyFont="1" applyFill="1" applyBorder="1" applyAlignment="1" applyProtection="1">
      <alignment horizontal="center" wrapText="1"/>
      <protection hidden="1"/>
    </xf>
    <xf numFmtId="0" fontId="6" fillId="3" borderId="63" xfId="0" applyFont="1" applyFill="1" applyBorder="1" applyAlignment="1" applyProtection="1">
      <alignment horizontal="center" wrapText="1"/>
      <protection hidden="1"/>
    </xf>
    <xf numFmtId="0" fontId="6" fillId="3" borderId="1" xfId="0" applyFont="1" applyFill="1" applyBorder="1" applyAlignment="1" applyProtection="1">
      <alignment horizontal="center" wrapText="1"/>
      <protection hidden="1"/>
    </xf>
    <xf numFmtId="0" fontId="6" fillId="3" borderId="22" xfId="0" applyFont="1" applyFill="1" applyBorder="1" applyAlignment="1" applyProtection="1">
      <alignment horizontal="center" wrapText="1"/>
      <protection hidden="1"/>
    </xf>
    <xf numFmtId="0" fontId="6" fillId="17" borderId="21" xfId="0" applyFont="1" applyFill="1" applyBorder="1" applyAlignment="1" applyProtection="1">
      <alignment horizontal="center" wrapText="1"/>
      <protection hidden="1"/>
    </xf>
    <xf numFmtId="0" fontId="6" fillId="16" borderId="1" xfId="0" applyFont="1" applyFill="1" applyBorder="1" applyAlignment="1" applyProtection="1">
      <alignment horizontal="center" vertical="center" wrapText="1"/>
      <protection hidden="1"/>
    </xf>
    <xf numFmtId="0" fontId="6" fillId="18" borderId="1" xfId="0" applyFont="1" applyFill="1" applyBorder="1" applyAlignment="1" applyProtection="1">
      <alignment horizontal="center" vertical="center" wrapText="1"/>
      <protection hidden="1"/>
    </xf>
    <xf numFmtId="0" fontId="6" fillId="18" borderId="22" xfId="0" applyFont="1" applyFill="1" applyBorder="1" applyAlignment="1" applyProtection="1">
      <alignment horizontal="center" vertical="center" wrapText="1"/>
      <protection hidden="1"/>
    </xf>
    <xf numFmtId="2" fontId="8" fillId="19" borderId="1" xfId="0" applyNumberFormat="1" applyFont="1" applyFill="1" applyBorder="1" applyAlignment="1" applyProtection="1">
      <alignment horizontal="center" vertical="center"/>
      <protection locked="0"/>
    </xf>
    <xf numFmtId="0" fontId="8" fillId="7" borderId="34" xfId="0" applyFont="1" applyFill="1" applyBorder="1" applyAlignment="1" applyProtection="1">
      <alignment horizontal="center"/>
      <protection locked="0"/>
    </xf>
    <xf numFmtId="0" fontId="8" fillId="7" borderId="57" xfId="0" applyFont="1" applyFill="1" applyBorder="1" applyAlignment="1" applyProtection="1">
      <alignment horizontal="center"/>
      <protection locked="0"/>
    </xf>
    <xf numFmtId="0" fontId="6" fillId="15" borderId="10" xfId="0" applyFont="1" applyFill="1" applyBorder="1" applyAlignment="1" applyProtection="1">
      <alignment horizontal="center" wrapText="1"/>
      <protection hidden="1"/>
    </xf>
    <xf numFmtId="0" fontId="15" fillId="5" borderId="45" xfId="0" applyFont="1" applyFill="1" applyBorder="1" applyAlignment="1" applyProtection="1">
      <alignment horizontal="center" vertical="center"/>
      <protection hidden="1"/>
    </xf>
    <xf numFmtId="0" fontId="15" fillId="5" borderId="46" xfId="0" applyFont="1" applyFill="1" applyBorder="1" applyAlignment="1" applyProtection="1">
      <alignment horizontal="center" vertical="center"/>
      <protection hidden="1"/>
    </xf>
    <xf numFmtId="0" fontId="15" fillId="5" borderId="58" xfId="0" applyFont="1" applyFill="1" applyBorder="1" applyAlignment="1" applyProtection="1">
      <alignment horizontal="center" vertical="center"/>
      <protection hidden="1"/>
    </xf>
    <xf numFmtId="0" fontId="99" fillId="4" borderId="21" xfId="0" applyFont="1" applyFill="1" applyBorder="1" applyAlignment="1" applyProtection="1">
      <alignment horizontal="center"/>
      <protection hidden="1"/>
    </xf>
    <xf numFmtId="0" fontId="99" fillId="4" borderId="1" xfId="0" applyFont="1" applyFill="1" applyBorder="1" applyAlignment="1" applyProtection="1">
      <alignment horizontal="center"/>
      <protection hidden="1"/>
    </xf>
    <xf numFmtId="0" fontId="99" fillId="4" borderId="22" xfId="0" applyFont="1" applyFill="1" applyBorder="1" applyAlignment="1" applyProtection="1">
      <alignment horizontal="center"/>
      <protection hidden="1"/>
    </xf>
    <xf numFmtId="0" fontId="91" fillId="0" borderId="25" xfId="0" applyFont="1" applyBorder="1" applyAlignment="1" applyProtection="1">
      <alignment horizontal="center" vertical="center"/>
      <protection hidden="1"/>
    </xf>
    <xf numFmtId="0" fontId="91" fillId="0" borderId="12" xfId="0" applyFont="1" applyBorder="1" applyAlignment="1" applyProtection="1">
      <alignment horizontal="center" vertical="center"/>
      <protection hidden="1"/>
    </xf>
    <xf numFmtId="0" fontId="91" fillId="0" borderId="40" xfId="0" applyFont="1" applyBorder="1" applyAlignment="1" applyProtection="1">
      <alignment horizontal="center" vertical="center"/>
      <protection hidden="1"/>
    </xf>
    <xf numFmtId="0" fontId="91" fillId="0" borderId="15" xfId="0" applyFont="1" applyBorder="1" applyAlignment="1" applyProtection="1">
      <alignment horizontal="center" vertical="center"/>
      <protection hidden="1"/>
    </xf>
    <xf numFmtId="0" fontId="91" fillId="0" borderId="27" xfId="0" applyFont="1" applyBorder="1" applyAlignment="1" applyProtection="1">
      <alignment horizontal="center" vertical="center"/>
      <protection hidden="1"/>
    </xf>
    <xf numFmtId="0" fontId="91" fillId="0" borderId="8" xfId="0" applyFont="1" applyBorder="1" applyAlignment="1" applyProtection="1">
      <alignment horizontal="center" vertical="center"/>
      <protection hidden="1"/>
    </xf>
    <xf numFmtId="0" fontId="16" fillId="0" borderId="32" xfId="0" applyFont="1" applyBorder="1" applyAlignment="1" applyProtection="1">
      <alignment horizontal="center" vertical="center"/>
      <protection hidden="1"/>
    </xf>
    <xf numFmtId="0" fontId="16" fillId="0" borderId="51"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1" xfId="0" applyFont="1" applyBorder="1" applyAlignment="1" applyProtection="1">
      <alignment horizontal="left" wrapText="1"/>
      <protection hidden="1"/>
    </xf>
    <xf numFmtId="0" fontId="7"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16" fillId="0" borderId="1" xfId="0" applyFont="1" applyBorder="1" applyAlignment="1" applyProtection="1">
      <alignment horizontal="left" vertical="center" wrapText="1"/>
      <protection hidden="1"/>
    </xf>
    <xf numFmtId="0" fontId="16" fillId="0" borderId="1" xfId="0" applyFont="1" applyBorder="1" applyAlignment="1" applyProtection="1">
      <alignment horizontal="center"/>
      <protection hidden="1"/>
    </xf>
    <xf numFmtId="0" fontId="16" fillId="0" borderId="22" xfId="0" applyFont="1" applyBorder="1" applyAlignment="1" applyProtection="1">
      <alignment horizontal="center"/>
      <protection hidden="1"/>
    </xf>
    <xf numFmtId="0" fontId="16" fillId="0" borderId="1"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2" xfId="0" applyFont="1" applyBorder="1" applyAlignment="1" applyProtection="1">
      <alignment horizontal="left" wrapText="1"/>
      <protection hidden="1"/>
    </xf>
    <xf numFmtId="0" fontId="16" fillId="0" borderId="22" xfId="0" applyFont="1" applyBorder="1" applyAlignment="1" applyProtection="1">
      <alignment horizontal="left" vertical="center" wrapText="1"/>
      <protection hidden="1"/>
    </xf>
    <xf numFmtId="0" fontId="7" fillId="0" borderId="1"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8" fillId="7" borderId="1" xfId="0" applyFont="1" applyFill="1" applyBorder="1" applyAlignment="1" applyProtection="1">
      <alignment horizontal="center" vertical="center"/>
      <protection hidden="1"/>
    </xf>
    <xf numFmtId="0" fontId="8" fillId="7" borderId="22" xfId="0" applyFont="1" applyFill="1" applyBorder="1" applyAlignment="1" applyProtection="1">
      <alignment horizontal="center" vertical="center"/>
      <protection hidden="1"/>
    </xf>
    <xf numFmtId="0" fontId="8" fillId="7" borderId="1" xfId="0" applyFont="1" applyFill="1" applyBorder="1" applyAlignment="1" applyProtection="1">
      <alignment horizontal="center"/>
      <protection hidden="1"/>
    </xf>
    <xf numFmtId="0" fontId="104" fillId="0" borderId="25" xfId="0" applyFont="1" applyBorder="1" applyAlignment="1" applyProtection="1">
      <alignment horizontal="left" vertical="center" wrapText="1"/>
      <protection hidden="1"/>
    </xf>
    <xf numFmtId="0" fontId="104" fillId="0" borderId="12" xfId="0" applyFont="1" applyBorder="1" applyAlignment="1" applyProtection="1">
      <alignment horizontal="left" vertical="center" wrapText="1"/>
      <protection hidden="1"/>
    </xf>
    <xf numFmtId="0" fontId="104" fillId="0" borderId="27" xfId="0" applyFont="1" applyBorder="1" applyAlignment="1" applyProtection="1">
      <alignment horizontal="left" vertical="center" wrapText="1"/>
      <protection hidden="1"/>
    </xf>
    <xf numFmtId="0" fontId="104" fillId="0" borderId="8" xfId="0" applyFont="1" applyBorder="1" applyAlignment="1" applyProtection="1">
      <alignment horizontal="left" vertical="center" wrapText="1"/>
      <protection hidden="1"/>
    </xf>
    <xf numFmtId="0" fontId="90" fillId="0" borderId="21" xfId="0" applyFont="1" applyBorder="1" applyAlignment="1" applyProtection="1">
      <alignment horizontal="center"/>
      <protection hidden="1"/>
    </xf>
    <xf numFmtId="0" fontId="90" fillId="0" borderId="1" xfId="0" applyFont="1" applyBorder="1" applyAlignment="1" applyProtection="1">
      <alignment horizontal="center"/>
      <protection hidden="1"/>
    </xf>
    <xf numFmtId="0" fontId="90" fillId="0" borderId="22" xfId="0" applyFont="1" applyBorder="1" applyAlignment="1" applyProtection="1">
      <alignment horizontal="center"/>
      <protection hidden="1"/>
    </xf>
    <xf numFmtId="0" fontId="15" fillId="3" borderId="21" xfId="0" applyFont="1" applyFill="1" applyBorder="1" applyAlignment="1" applyProtection="1">
      <alignment horizontal="center" vertical="top"/>
      <protection hidden="1"/>
    </xf>
    <xf numFmtId="0" fontId="15" fillId="3" borderId="1" xfId="0" applyFont="1" applyFill="1" applyBorder="1" applyAlignment="1" applyProtection="1">
      <alignment horizontal="center" vertical="top"/>
      <protection hidden="1"/>
    </xf>
    <xf numFmtId="0" fontId="15" fillId="3" borderId="22" xfId="0" applyFont="1" applyFill="1" applyBorder="1" applyAlignment="1" applyProtection="1">
      <alignment horizontal="center" vertical="top"/>
      <protection hidden="1"/>
    </xf>
    <xf numFmtId="0" fontId="13" fillId="0" borderId="21" xfId="0" applyFont="1" applyBorder="1" applyAlignment="1" applyProtection="1">
      <alignment horizontal="left" vertical="center"/>
      <protection hidden="1"/>
    </xf>
    <xf numFmtId="0" fontId="13" fillId="0" borderId="1" xfId="0" applyFont="1" applyBorder="1" applyAlignment="1" applyProtection="1">
      <alignment horizontal="left" vertical="center"/>
      <protection hidden="1"/>
    </xf>
    <xf numFmtId="0" fontId="8" fillId="0" borderId="21" xfId="0" applyFont="1" applyBorder="1" applyAlignment="1" applyProtection="1">
      <alignment horizontal="left" vertical="center"/>
      <protection hidden="1"/>
    </xf>
    <xf numFmtId="0" fontId="8" fillId="0" borderId="1" xfId="0" applyFont="1" applyBorder="1" applyAlignment="1" applyProtection="1">
      <alignment horizontal="left" vertical="center"/>
      <protection hidden="1"/>
    </xf>
    <xf numFmtId="0" fontId="16" fillId="0" borderId="21" xfId="0" applyFont="1" applyBorder="1" applyAlignment="1" applyProtection="1">
      <alignment horizontal="left"/>
      <protection hidden="1"/>
    </xf>
    <xf numFmtId="0" fontId="16" fillId="0" borderId="1" xfId="0" applyFont="1" applyBorder="1" applyAlignment="1" applyProtection="1">
      <alignment horizontal="left"/>
      <protection hidden="1"/>
    </xf>
    <xf numFmtId="0" fontId="16" fillId="0" borderId="22" xfId="0" applyFont="1" applyBorder="1" applyAlignment="1" applyProtection="1">
      <alignment horizontal="left"/>
      <protection hidden="1"/>
    </xf>
    <xf numFmtId="0" fontId="13" fillId="0" borderId="22" xfId="0" applyFont="1" applyBorder="1" applyAlignment="1" applyProtection="1">
      <alignment horizontal="left" vertical="center"/>
      <protection hidden="1"/>
    </xf>
    <xf numFmtId="0" fontId="8" fillId="0" borderId="22" xfId="0" applyFont="1" applyBorder="1" applyAlignment="1" applyProtection="1">
      <alignment horizontal="left" vertical="center"/>
      <protection hidden="1"/>
    </xf>
    <xf numFmtId="0" fontId="16" fillId="0" borderId="21"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20" fillId="3" borderId="21" xfId="0" applyFont="1" applyFill="1" applyBorder="1" applyAlignment="1" applyProtection="1">
      <alignment horizontal="center" vertical="center" wrapText="1"/>
      <protection hidden="1"/>
    </xf>
    <xf numFmtId="0" fontId="20" fillId="3" borderId="1" xfId="0" applyFont="1" applyFill="1" applyBorder="1" applyAlignment="1" applyProtection="1">
      <alignment horizontal="center" vertical="center" wrapText="1"/>
      <protection hidden="1"/>
    </xf>
    <xf numFmtId="0" fontId="81" fillId="0" borderId="54" xfId="2" applyFont="1" applyBorder="1" applyAlignment="1" applyProtection="1">
      <alignment horizontal="center"/>
      <protection locked="0"/>
    </xf>
    <xf numFmtId="0" fontId="81" fillId="0" borderId="55" xfId="2" applyFont="1" applyBorder="1" applyAlignment="1" applyProtection="1">
      <alignment horizontal="center"/>
      <protection locked="0"/>
    </xf>
    <xf numFmtId="0" fontId="81" fillId="0" borderId="56" xfId="2" applyFont="1" applyBorder="1" applyAlignment="1" applyProtection="1">
      <alignment horizontal="center"/>
      <protection locked="0"/>
    </xf>
    <xf numFmtId="0" fontId="15" fillId="3" borderId="23" xfId="0" applyFont="1" applyFill="1" applyBorder="1" applyAlignment="1" applyProtection="1">
      <alignment horizontal="left" vertical="center"/>
      <protection hidden="1"/>
    </xf>
    <xf numFmtId="0" fontId="15" fillId="3" borderId="9" xfId="0" applyFont="1" applyFill="1" applyBorder="1" applyAlignment="1" applyProtection="1">
      <alignment horizontal="left" vertical="center"/>
      <protection hidden="1"/>
    </xf>
    <xf numFmtId="0" fontId="15" fillId="3" borderId="24" xfId="0" applyFont="1" applyFill="1" applyBorder="1" applyAlignment="1" applyProtection="1">
      <alignment horizontal="left" vertical="center"/>
      <protection hidden="1"/>
    </xf>
    <xf numFmtId="0" fontId="92" fillId="0" borderId="59" xfId="0" applyFont="1" applyBorder="1" applyAlignment="1" applyProtection="1">
      <alignment horizontal="center"/>
      <protection hidden="1"/>
    </xf>
    <xf numFmtId="0" fontId="92" fillId="0" borderId="60" xfId="0" applyFont="1" applyBorder="1" applyAlignment="1" applyProtection="1">
      <alignment horizontal="center"/>
      <protection hidden="1"/>
    </xf>
    <xf numFmtId="0" fontId="92" fillId="0" borderId="63" xfId="0" applyFont="1" applyBorder="1" applyAlignment="1" applyProtection="1">
      <alignment horizontal="center"/>
      <protection hidden="1"/>
    </xf>
    <xf numFmtId="0" fontId="0" fillId="0" borderId="0" xfId="0" applyBorder="1" applyAlignment="1" applyProtection="1">
      <alignment horizontal="center"/>
      <protection hidden="1"/>
    </xf>
    <xf numFmtId="0" fontId="70" fillId="0" borderId="17" xfId="0" applyFont="1" applyBorder="1" applyAlignment="1" applyProtection="1">
      <alignment horizontal="center" vertical="center"/>
      <protection hidden="1"/>
    </xf>
    <xf numFmtId="0" fontId="70" fillId="0" borderId="40" xfId="0" applyFont="1" applyBorder="1" applyAlignment="1" applyProtection="1">
      <alignment horizontal="center" vertical="center"/>
      <protection hidden="1"/>
    </xf>
    <xf numFmtId="0" fontId="6" fillId="3" borderId="10" xfId="0" applyFont="1" applyFill="1" applyBorder="1" applyAlignment="1" applyProtection="1">
      <alignment horizontal="center" wrapText="1"/>
      <protection hidden="1"/>
    </xf>
    <xf numFmtId="0" fontId="6" fillId="15" borderId="30" xfId="0" applyFont="1" applyFill="1" applyBorder="1" applyAlignment="1" applyProtection="1">
      <alignment horizontal="center" wrapText="1"/>
      <protection hidden="1"/>
    </xf>
    <xf numFmtId="0" fontId="6" fillId="15" borderId="22" xfId="0" applyFont="1" applyFill="1" applyBorder="1" applyAlignment="1" applyProtection="1">
      <alignment horizontal="center" wrapText="1"/>
      <protection hidden="1"/>
    </xf>
    <xf numFmtId="0" fontId="6" fillId="4" borderId="29" xfId="0" applyFont="1" applyFill="1" applyBorder="1" applyAlignment="1" applyProtection="1">
      <alignment horizontal="center" wrapText="1"/>
      <protection hidden="1"/>
    </xf>
    <xf numFmtId="0" fontId="102" fillId="17" borderId="21" xfId="0" applyFont="1" applyFill="1" applyBorder="1" applyAlignment="1" applyProtection="1">
      <alignment horizontal="center" wrapText="1"/>
      <protection hidden="1"/>
    </xf>
    <xf numFmtId="0" fontId="100" fillId="3" borderId="18" xfId="0" applyFont="1" applyFill="1" applyBorder="1" applyAlignment="1" applyProtection="1">
      <alignment horizontal="left" vertical="center" wrapText="1"/>
      <protection hidden="1"/>
    </xf>
    <xf numFmtId="0" fontId="100" fillId="3" borderId="19" xfId="0" applyFont="1" applyFill="1" applyBorder="1" applyAlignment="1" applyProtection="1">
      <alignment horizontal="left" vertical="center" wrapText="1"/>
      <protection hidden="1"/>
    </xf>
    <xf numFmtId="0" fontId="100" fillId="3" borderId="20" xfId="0" applyFont="1" applyFill="1" applyBorder="1" applyAlignment="1" applyProtection="1">
      <alignment horizontal="left" vertical="center" wrapText="1"/>
      <protection hidden="1"/>
    </xf>
    <xf numFmtId="0" fontId="100" fillId="3" borderId="41" xfId="0" applyFont="1" applyFill="1" applyBorder="1" applyAlignment="1" applyProtection="1">
      <alignment horizontal="left" vertical="center" wrapText="1"/>
      <protection hidden="1"/>
    </xf>
    <xf numFmtId="0" fontId="100" fillId="3" borderId="42" xfId="0" applyFont="1" applyFill="1" applyBorder="1" applyAlignment="1" applyProtection="1">
      <alignment horizontal="left" vertical="center" wrapText="1"/>
      <protection hidden="1"/>
    </xf>
    <xf numFmtId="0" fontId="100" fillId="3" borderId="43" xfId="0" applyFont="1" applyFill="1" applyBorder="1" applyAlignment="1" applyProtection="1">
      <alignment horizontal="left" vertical="center" wrapText="1"/>
      <protection hidden="1"/>
    </xf>
    <xf numFmtId="0" fontId="15" fillId="7" borderId="59" xfId="0" applyFont="1" applyFill="1" applyBorder="1" applyAlignment="1" applyProtection="1">
      <alignment horizontal="center"/>
      <protection hidden="1"/>
    </xf>
    <xf numFmtId="0" fontId="15" fillId="7" borderId="60" xfId="0" applyFont="1" applyFill="1" applyBorder="1" applyAlignment="1" applyProtection="1">
      <alignment horizontal="center"/>
      <protection hidden="1"/>
    </xf>
    <xf numFmtId="0" fontId="15" fillId="7" borderId="63" xfId="0" applyFont="1" applyFill="1" applyBorder="1" applyAlignment="1" applyProtection="1">
      <alignment horizontal="center"/>
      <protection hidden="1"/>
    </xf>
    <xf numFmtId="0" fontId="94" fillId="5" borderId="54" xfId="0" applyFont="1" applyFill="1" applyBorder="1" applyAlignment="1" applyProtection="1">
      <alignment horizontal="center" vertical="center"/>
      <protection hidden="1"/>
    </xf>
    <xf numFmtId="0" fontId="94" fillId="5" borderId="55" xfId="0" applyFont="1" applyFill="1" applyBorder="1" applyAlignment="1" applyProtection="1">
      <alignment horizontal="center" vertical="center"/>
      <protection hidden="1"/>
    </xf>
    <xf numFmtId="0" fontId="94" fillId="5" borderId="56" xfId="0" applyFont="1" applyFill="1" applyBorder="1" applyAlignment="1" applyProtection="1">
      <alignment horizontal="center" vertical="center"/>
      <protection hidden="1"/>
    </xf>
    <xf numFmtId="0" fontId="16" fillId="0" borderId="11" xfId="0" applyFont="1" applyBorder="1" applyAlignment="1" applyProtection="1">
      <alignment horizontal="center" wrapText="1"/>
      <protection hidden="1"/>
    </xf>
    <xf numFmtId="0" fontId="16" fillId="0" borderId="6" xfId="0" applyFont="1" applyBorder="1" applyAlignment="1" applyProtection="1">
      <alignment horizontal="center" wrapText="1"/>
      <protection hidden="1"/>
    </xf>
    <xf numFmtId="0" fontId="16" fillId="0" borderId="12" xfId="0" applyFont="1" applyBorder="1" applyAlignment="1" applyProtection="1">
      <alignment horizontal="center" wrapText="1"/>
      <protection hidden="1"/>
    </xf>
    <xf numFmtId="0" fontId="16" fillId="0" borderId="7" xfId="0" applyFont="1" applyBorder="1" applyAlignment="1" applyProtection="1">
      <alignment horizontal="center" wrapText="1"/>
      <protection hidden="1"/>
    </xf>
    <xf numFmtId="0" fontId="16" fillId="0" borderId="5" xfId="0" applyFont="1" applyBorder="1" applyAlignment="1" applyProtection="1">
      <alignment horizontal="center" wrapText="1"/>
      <protection hidden="1"/>
    </xf>
    <xf numFmtId="0" fontId="16" fillId="0" borderId="8" xfId="0" applyFont="1" applyBorder="1" applyAlignment="1" applyProtection="1">
      <alignment horizontal="center" wrapText="1"/>
      <protection hidden="1"/>
    </xf>
    <xf numFmtId="0" fontId="0" fillId="0" borderId="32" xfId="0" applyFont="1" applyBorder="1" applyAlignment="1" applyProtection="1">
      <alignment horizontal="center" vertical="center" wrapText="1"/>
      <protection hidden="1"/>
    </xf>
    <xf numFmtId="0" fontId="0" fillId="0" borderId="29"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101" fillId="3" borderId="59" xfId="0" applyFont="1" applyFill="1" applyBorder="1" applyAlignment="1" applyProtection="1">
      <alignment horizontal="left" wrapText="1"/>
      <protection hidden="1"/>
    </xf>
    <xf numFmtId="0" fontId="101" fillId="3" borderId="60" xfId="0" applyFont="1" applyFill="1" applyBorder="1" applyAlignment="1" applyProtection="1">
      <alignment horizontal="left" wrapText="1"/>
      <protection hidden="1"/>
    </xf>
    <xf numFmtId="0" fontId="101" fillId="3" borderId="63" xfId="0" applyFont="1" applyFill="1" applyBorder="1" applyAlignment="1" applyProtection="1">
      <alignment horizontal="left" wrapText="1"/>
      <protection hidden="1"/>
    </xf>
    <xf numFmtId="0" fontId="101" fillId="3" borderId="21" xfId="0" applyFont="1" applyFill="1" applyBorder="1" applyAlignment="1" applyProtection="1">
      <alignment horizontal="left" wrapText="1"/>
      <protection hidden="1"/>
    </xf>
    <xf numFmtId="0" fontId="101" fillId="3" borderId="1" xfId="0" applyFont="1" applyFill="1" applyBorder="1" applyAlignment="1" applyProtection="1">
      <alignment horizontal="left" wrapText="1"/>
      <protection hidden="1"/>
    </xf>
    <xf numFmtId="0" fontId="101" fillId="3" borderId="22" xfId="0" applyFont="1" applyFill="1" applyBorder="1" applyAlignment="1" applyProtection="1">
      <alignment horizontal="left" wrapText="1"/>
      <protection hidden="1"/>
    </xf>
    <xf numFmtId="0" fontId="101" fillId="3" borderId="33" xfId="0" applyFont="1" applyFill="1" applyBorder="1" applyAlignment="1" applyProtection="1">
      <alignment horizontal="left" wrapText="1"/>
      <protection hidden="1"/>
    </xf>
    <xf numFmtId="0" fontId="101" fillId="3" borderId="34" xfId="0" applyFont="1" applyFill="1" applyBorder="1" applyAlignment="1" applyProtection="1">
      <alignment horizontal="left" wrapText="1"/>
      <protection hidden="1"/>
    </xf>
    <xf numFmtId="0" fontId="101" fillId="3" borderId="57" xfId="0" applyFont="1" applyFill="1" applyBorder="1" applyAlignment="1" applyProtection="1">
      <alignment horizontal="left" wrapText="1"/>
      <protection hidden="1"/>
    </xf>
    <xf numFmtId="0" fontId="98" fillId="7" borderId="64" xfId="0" applyFont="1" applyFill="1" applyBorder="1" applyAlignment="1" applyProtection="1">
      <alignment horizontal="center"/>
      <protection hidden="1"/>
    </xf>
    <xf numFmtId="0" fontId="98" fillId="7" borderId="62" xfId="0" applyFont="1" applyFill="1" applyBorder="1" applyAlignment="1" applyProtection="1">
      <alignment horizontal="center"/>
      <protection hidden="1"/>
    </xf>
    <xf numFmtId="0" fontId="98" fillId="7" borderId="65" xfId="0" applyFont="1" applyFill="1" applyBorder="1" applyAlignment="1" applyProtection="1">
      <alignment horizontal="center"/>
      <protection hidden="1"/>
    </xf>
    <xf numFmtId="0" fontId="95" fillId="0" borderId="69" xfId="0" applyFont="1" applyBorder="1" applyAlignment="1" applyProtection="1">
      <alignment horizontal="center"/>
      <protection hidden="1"/>
    </xf>
    <xf numFmtId="0" fontId="95" fillId="0" borderId="70" xfId="0" applyFont="1" applyBorder="1" applyAlignment="1" applyProtection="1">
      <alignment horizontal="center"/>
      <protection hidden="1"/>
    </xf>
    <xf numFmtId="0" fontId="95" fillId="0" borderId="71" xfId="0" applyFont="1" applyBorder="1" applyAlignment="1" applyProtection="1">
      <alignment horizontal="center"/>
      <protection hidden="1"/>
    </xf>
    <xf numFmtId="0" fontId="96" fillId="0" borderId="51" xfId="0" applyFont="1" applyBorder="1" applyAlignment="1" applyProtection="1">
      <alignment horizontal="left"/>
      <protection hidden="1"/>
    </xf>
    <xf numFmtId="0" fontId="96" fillId="0" borderId="16" xfId="0" applyFont="1" applyBorder="1" applyAlignment="1" applyProtection="1">
      <alignment horizontal="left"/>
      <protection hidden="1"/>
    </xf>
    <xf numFmtId="0" fontId="96" fillId="0" borderId="31" xfId="0" applyFont="1" applyBorder="1" applyAlignment="1" applyProtection="1">
      <alignment horizontal="left"/>
      <protection hidden="1"/>
    </xf>
    <xf numFmtId="0" fontId="97" fillId="0" borderId="51" xfId="0" applyFont="1" applyBorder="1" applyAlignment="1" applyProtection="1">
      <alignment horizontal="left"/>
      <protection hidden="1"/>
    </xf>
    <xf numFmtId="0" fontId="97" fillId="0" borderId="16" xfId="0" applyFont="1" applyBorder="1" applyAlignment="1" applyProtection="1">
      <alignment horizontal="left"/>
      <protection hidden="1"/>
    </xf>
    <xf numFmtId="0" fontId="97" fillId="0" borderId="31" xfId="0" applyFont="1" applyBorder="1" applyAlignment="1" applyProtection="1">
      <alignment horizontal="left"/>
      <protection hidden="1"/>
    </xf>
    <xf numFmtId="0" fontId="16" fillId="0" borderId="34" xfId="0" applyFont="1" applyBorder="1" applyAlignment="1" applyProtection="1">
      <alignment horizontal="left" wrapText="1"/>
      <protection hidden="1"/>
    </xf>
    <xf numFmtId="0" fontId="16" fillId="0" borderId="34" xfId="0" applyFont="1" applyBorder="1" applyAlignment="1" applyProtection="1">
      <alignment horizontal="center" vertical="center"/>
      <protection hidden="1"/>
    </xf>
    <xf numFmtId="0" fontId="16" fillId="0" borderId="57" xfId="0" applyFont="1" applyBorder="1" applyAlignment="1" applyProtection="1">
      <alignment horizontal="center" vertical="center"/>
      <protection hidden="1"/>
    </xf>
    <xf numFmtId="0" fontId="15" fillId="5" borderId="54" xfId="0" applyFont="1" applyFill="1" applyBorder="1" applyAlignment="1" applyProtection="1">
      <alignment horizontal="center"/>
      <protection hidden="1"/>
    </xf>
    <xf numFmtId="0" fontId="15" fillId="5" borderId="55" xfId="0" applyFont="1" applyFill="1" applyBorder="1" applyAlignment="1" applyProtection="1">
      <alignment horizontal="center"/>
      <protection hidden="1"/>
    </xf>
    <xf numFmtId="0" fontId="15" fillId="5" borderId="56" xfId="0" applyFont="1" applyFill="1" applyBorder="1" applyAlignment="1" applyProtection="1">
      <alignment horizontal="center"/>
      <protection hidden="1"/>
    </xf>
    <xf numFmtId="0" fontId="16" fillId="0" borderId="33" xfId="0" applyFont="1" applyBorder="1" applyAlignment="1" applyProtection="1">
      <alignment horizontal="center" vertical="center" wrapText="1"/>
      <protection hidden="1"/>
    </xf>
    <xf numFmtId="0" fontId="16" fillId="0" borderId="34" xfId="0" applyFont="1" applyBorder="1" applyAlignment="1" applyProtection="1">
      <alignment horizontal="center" vertical="center" wrapText="1"/>
      <protection hidden="1"/>
    </xf>
    <xf numFmtId="0" fontId="20" fillId="3" borderId="1" xfId="0" applyFont="1" applyFill="1" applyBorder="1" applyAlignment="1" applyProtection="1">
      <alignment horizontal="center" wrapText="1"/>
      <protection hidden="1"/>
    </xf>
    <xf numFmtId="0" fontId="20" fillId="3" borderId="22" xfId="0" applyFont="1" applyFill="1" applyBorder="1" applyAlignment="1" applyProtection="1">
      <alignment horizontal="center" wrapText="1"/>
      <protection hidden="1"/>
    </xf>
    <xf numFmtId="0" fontId="0" fillId="6" borderId="42" xfId="0" applyFill="1" applyBorder="1" applyAlignment="1" applyProtection="1">
      <alignment horizontal="center"/>
      <protection hidden="1"/>
    </xf>
    <xf numFmtId="0" fontId="0" fillId="6" borderId="0" xfId="0" applyFill="1" applyAlignment="1" applyProtection="1">
      <alignment horizontal="center"/>
      <protection hidden="1"/>
    </xf>
    <xf numFmtId="0" fontId="0" fillId="4" borderId="0" xfId="0" applyFill="1" applyAlignment="1" applyProtection="1">
      <alignment horizontal="center"/>
      <protection hidden="1"/>
    </xf>
    <xf numFmtId="0" fontId="55" fillId="5" borderId="54" xfId="0" applyFont="1" applyFill="1" applyBorder="1" applyAlignment="1" applyProtection="1">
      <alignment horizontal="center"/>
      <protection hidden="1"/>
    </xf>
    <xf numFmtId="0" fontId="55" fillId="5" borderId="55" xfId="0" applyFont="1" applyFill="1" applyBorder="1" applyAlignment="1" applyProtection="1">
      <alignment horizontal="center"/>
      <protection hidden="1"/>
    </xf>
    <xf numFmtId="0" fontId="55" fillId="5" borderId="56" xfId="0" applyFont="1" applyFill="1" applyBorder="1" applyAlignment="1" applyProtection="1">
      <alignment horizontal="center"/>
      <protection hidden="1"/>
    </xf>
    <xf numFmtId="0" fontId="40" fillId="4" borderId="62" xfId="0" applyFont="1" applyFill="1" applyBorder="1" applyAlignment="1" applyProtection="1">
      <alignment horizontal="center"/>
      <protection hidden="1"/>
    </xf>
    <xf numFmtId="0" fontId="40" fillId="4" borderId="65" xfId="0" applyFont="1" applyFill="1" applyBorder="1" applyAlignment="1" applyProtection="1">
      <alignment horizontal="center"/>
      <protection hidden="1"/>
    </xf>
    <xf numFmtId="0" fontId="25" fillId="3" borderId="19" xfId="1" applyFont="1" applyFill="1" applyBorder="1" applyAlignment="1" applyProtection="1">
      <alignment horizontal="center"/>
      <protection locked="0"/>
    </xf>
    <xf numFmtId="0" fontId="52" fillId="12" borderId="54" xfId="0" applyFont="1" applyFill="1" applyBorder="1" applyAlignment="1" applyProtection="1">
      <alignment horizontal="center"/>
      <protection locked="0"/>
    </xf>
    <xf numFmtId="0" fontId="52" fillId="12" borderId="55" xfId="0" applyFont="1" applyFill="1" applyBorder="1" applyAlignment="1" applyProtection="1">
      <alignment horizontal="center"/>
      <protection locked="0"/>
    </xf>
    <xf numFmtId="0" fontId="52" fillId="12" borderId="56" xfId="0" applyFont="1" applyFill="1" applyBorder="1" applyAlignment="1" applyProtection="1">
      <alignment horizontal="center"/>
      <protection locked="0"/>
    </xf>
    <xf numFmtId="0" fontId="52" fillId="9" borderId="37" xfId="3" applyFont="1" applyBorder="1" applyAlignment="1" applyProtection="1">
      <alignment horizontal="center"/>
      <protection hidden="1"/>
    </xf>
    <xf numFmtId="0" fontId="52" fillId="9" borderId="39" xfId="3" applyFont="1" applyBorder="1" applyAlignment="1" applyProtection="1">
      <alignment horizontal="center"/>
      <protection hidden="1"/>
    </xf>
    <xf numFmtId="0" fontId="52" fillId="9" borderId="18" xfId="3" applyFont="1" applyBorder="1" applyAlignment="1" applyProtection="1">
      <alignment horizontal="center"/>
      <protection hidden="1"/>
    </xf>
    <xf numFmtId="0" fontId="52" fillId="9" borderId="19" xfId="3" applyFont="1" applyBorder="1" applyAlignment="1" applyProtection="1">
      <alignment horizontal="center"/>
      <protection hidden="1"/>
    </xf>
    <xf numFmtId="0" fontId="52" fillId="9" borderId="20" xfId="3" applyFont="1" applyBorder="1" applyAlignment="1" applyProtection="1">
      <alignment horizontal="center"/>
      <protection hidden="1"/>
    </xf>
    <xf numFmtId="0" fontId="49" fillId="9" borderId="11" xfId="3" applyFont="1" applyBorder="1" applyAlignment="1" applyProtection="1">
      <alignment horizontal="center"/>
      <protection hidden="1"/>
    </xf>
    <xf numFmtId="0" fontId="49" fillId="9" borderId="6" xfId="3" applyFont="1" applyBorder="1" applyAlignment="1" applyProtection="1">
      <alignment horizontal="center"/>
      <protection hidden="1"/>
    </xf>
    <xf numFmtId="0" fontId="49" fillId="9" borderId="12" xfId="3" applyFont="1" applyBorder="1" applyAlignment="1" applyProtection="1">
      <alignment horizontal="center"/>
      <protection hidden="1"/>
    </xf>
    <xf numFmtId="0" fontId="34" fillId="6" borderId="7" xfId="0" applyFont="1" applyFill="1" applyBorder="1" applyAlignment="1" applyProtection="1">
      <alignment horizontal="center"/>
      <protection hidden="1"/>
    </xf>
    <xf numFmtId="0" fontId="34" fillId="6" borderId="5" xfId="0" applyFont="1" applyFill="1" applyBorder="1" applyAlignment="1" applyProtection="1">
      <alignment horizontal="center"/>
      <protection hidden="1"/>
    </xf>
    <xf numFmtId="0" fontId="34" fillId="6" borderId="8" xfId="0" applyFont="1" applyFill="1" applyBorder="1" applyAlignment="1" applyProtection="1">
      <alignment horizontal="center"/>
      <protection hidden="1"/>
    </xf>
    <xf numFmtId="0" fontId="55" fillId="3" borderId="54" xfId="0" applyFont="1" applyFill="1" applyBorder="1" applyAlignment="1" applyProtection="1">
      <alignment horizontal="center"/>
      <protection locked="0"/>
    </xf>
    <xf numFmtId="0" fontId="55" fillId="3" borderId="55" xfId="0" applyFont="1" applyFill="1" applyBorder="1" applyAlignment="1" applyProtection="1">
      <alignment horizontal="center"/>
      <protection locked="0"/>
    </xf>
    <xf numFmtId="0" fontId="55" fillId="3" borderId="56" xfId="0" applyFont="1" applyFill="1" applyBorder="1" applyAlignment="1" applyProtection="1">
      <alignment horizontal="center"/>
      <protection locked="0"/>
    </xf>
    <xf numFmtId="0" fontId="34" fillId="6" borderId="55" xfId="0" applyFont="1" applyFill="1" applyBorder="1" applyAlignment="1" applyProtection="1">
      <alignment horizontal="center"/>
      <protection hidden="1"/>
    </xf>
    <xf numFmtId="0" fontId="34" fillId="6" borderId="56" xfId="0" applyFont="1" applyFill="1" applyBorder="1" applyAlignment="1" applyProtection="1">
      <alignment horizontal="center"/>
      <protection hidden="1"/>
    </xf>
    <xf numFmtId="0" fontId="35" fillId="0" borderId="1" xfId="0" applyFont="1" applyBorder="1" applyAlignment="1" applyProtection="1">
      <alignment horizontal="center"/>
      <protection locked="0"/>
    </xf>
    <xf numFmtId="0" fontId="35" fillId="0" borderId="22" xfId="0" applyFont="1" applyBorder="1" applyAlignment="1" applyProtection="1">
      <alignment horizontal="center"/>
      <protection locked="0"/>
    </xf>
    <xf numFmtId="0" fontId="35" fillId="0" borderId="21" xfId="0" applyFont="1" applyBorder="1" applyAlignment="1" applyProtection="1">
      <alignment horizontal="center"/>
      <protection locked="0"/>
    </xf>
    <xf numFmtId="0" fontId="35" fillId="0" borderId="1" xfId="0" applyFont="1" applyBorder="1" applyProtection="1">
      <protection locked="0"/>
    </xf>
    <xf numFmtId="0" fontId="35" fillId="0" borderId="22" xfId="0" applyFont="1" applyBorder="1" applyProtection="1">
      <protection locked="0"/>
    </xf>
    <xf numFmtId="49" fontId="53" fillId="0" borderId="21" xfId="2" applyNumberFormat="1" applyFont="1" applyBorder="1" applyAlignment="1" applyProtection="1">
      <alignment horizontal="center" vertical="center"/>
      <protection locked="0"/>
    </xf>
    <xf numFmtId="49" fontId="53" fillId="0" borderId="1" xfId="2" applyNumberFormat="1"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49" fontId="35" fillId="0" borderId="22" xfId="0" applyNumberFormat="1" applyFont="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49" fontId="35" fillId="0" borderId="21" xfId="0" applyNumberFormat="1"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49" fontId="62" fillId="9" borderId="60" xfId="3" applyNumberFormat="1" applyFont="1" applyBorder="1" applyAlignment="1" applyProtection="1">
      <alignment horizontal="center" vertical="center"/>
      <protection locked="0"/>
    </xf>
    <xf numFmtId="0" fontId="41" fillId="0" borderId="1" xfId="0" applyFont="1" applyBorder="1" applyAlignment="1" applyProtection="1">
      <alignment horizontal="center" vertical="center"/>
      <protection hidden="1"/>
    </xf>
    <xf numFmtId="0" fontId="41" fillId="0" borderId="22" xfId="0" applyFont="1" applyBorder="1" applyAlignment="1" applyProtection="1">
      <alignment horizontal="center" vertical="center"/>
      <protection hidden="1"/>
    </xf>
    <xf numFmtId="0" fontId="41" fillId="0" borderId="21" xfId="0" applyFont="1" applyBorder="1" applyAlignment="1" applyProtection="1">
      <alignment horizontal="center" vertical="center"/>
      <protection hidden="1"/>
    </xf>
    <xf numFmtId="0" fontId="63" fillId="5" borderId="19" xfId="0" applyFont="1" applyFill="1" applyBorder="1" applyAlignment="1" applyProtection="1">
      <alignment horizontal="center" vertical="center"/>
      <protection locked="0"/>
    </xf>
    <xf numFmtId="0" fontId="0" fillId="6" borderId="19" xfId="0" applyFill="1" applyBorder="1" applyAlignment="1" applyProtection="1">
      <alignment horizontal="center"/>
      <protection hidden="1"/>
    </xf>
    <xf numFmtId="0" fontId="0" fillId="6" borderId="20" xfId="0" applyFill="1" applyBorder="1" applyAlignment="1" applyProtection="1">
      <alignment horizontal="center"/>
      <protection hidden="1"/>
    </xf>
    <xf numFmtId="0" fontId="34" fillId="6" borderId="14" xfId="0" applyFont="1" applyFill="1" applyBorder="1" applyAlignment="1" applyProtection="1">
      <alignment horizontal="center"/>
      <protection hidden="1"/>
    </xf>
    <xf numFmtId="0" fontId="34" fillId="6" borderId="0" xfId="0" applyFont="1" applyFill="1" applyBorder="1" applyAlignment="1" applyProtection="1">
      <alignment horizontal="center"/>
      <protection hidden="1"/>
    </xf>
    <xf numFmtId="0" fontId="34" fillId="6" borderId="17" xfId="0" applyFont="1" applyFill="1" applyBorder="1" applyAlignment="1" applyProtection="1">
      <alignment horizontal="center"/>
      <protection hidden="1"/>
    </xf>
    <xf numFmtId="0" fontId="34" fillId="6" borderId="45" xfId="0" applyFont="1" applyFill="1" applyBorder="1" applyAlignment="1" applyProtection="1">
      <alignment horizontal="center"/>
      <protection hidden="1"/>
    </xf>
    <xf numFmtId="0" fontId="34" fillId="6" borderId="47" xfId="0" applyFont="1" applyFill="1" applyBorder="1" applyAlignment="1" applyProtection="1">
      <alignment horizontal="center"/>
      <protection hidden="1"/>
    </xf>
    <xf numFmtId="0" fontId="0" fillId="6" borderId="0" xfId="0" applyFill="1" applyBorder="1" applyAlignment="1" applyProtection="1">
      <alignment horizontal="center"/>
      <protection hidden="1"/>
    </xf>
    <xf numFmtId="14" fontId="62" fillId="9" borderId="34" xfId="3" applyNumberFormat="1" applyFont="1" applyBorder="1" applyAlignment="1" applyProtection="1">
      <alignment horizontal="center" vertical="center"/>
      <protection locked="0"/>
    </xf>
    <xf numFmtId="0" fontId="62" fillId="9" borderId="34" xfId="3" applyFont="1" applyBorder="1" applyAlignment="1" applyProtection="1">
      <alignment horizontal="center" vertical="center"/>
      <protection locked="0"/>
    </xf>
    <xf numFmtId="0" fontId="62" fillId="9" borderId="57" xfId="3" applyFont="1" applyBorder="1" applyAlignment="1" applyProtection="1">
      <alignment horizontal="center" vertical="center"/>
      <protection locked="0"/>
    </xf>
    <xf numFmtId="14" fontId="56" fillId="12" borderId="54" xfId="0" applyNumberFormat="1" applyFont="1" applyFill="1" applyBorder="1" applyAlignment="1" applyProtection="1">
      <alignment horizontal="center"/>
      <protection locked="0"/>
    </xf>
    <xf numFmtId="14" fontId="56" fillId="12" borderId="55" xfId="0" applyNumberFormat="1" applyFont="1" applyFill="1" applyBorder="1" applyAlignment="1" applyProtection="1">
      <alignment horizontal="center"/>
      <protection locked="0"/>
    </xf>
    <xf numFmtId="14" fontId="56" fillId="12" borderId="56" xfId="0" applyNumberFormat="1" applyFont="1" applyFill="1" applyBorder="1" applyAlignment="1" applyProtection="1">
      <alignment horizontal="center"/>
      <protection locked="0"/>
    </xf>
    <xf numFmtId="0" fontId="57" fillId="12" borderId="54" xfId="0" applyFont="1" applyFill="1" applyBorder="1" applyAlignment="1" applyProtection="1">
      <alignment horizontal="center"/>
      <protection locked="0"/>
    </xf>
    <xf numFmtId="0" fontId="57" fillId="12" borderId="55" xfId="0" applyFont="1" applyFill="1" applyBorder="1" applyAlignment="1" applyProtection="1">
      <alignment horizontal="center"/>
      <protection locked="0"/>
    </xf>
    <xf numFmtId="0" fontId="57" fillId="12" borderId="56" xfId="0" applyFont="1" applyFill="1" applyBorder="1" applyAlignment="1" applyProtection="1">
      <alignment horizontal="center"/>
      <protection locked="0"/>
    </xf>
    <xf numFmtId="0" fontId="35" fillId="0" borderId="34" xfId="0" applyFont="1" applyBorder="1" applyAlignment="1" applyProtection="1">
      <alignment horizontal="center" vertical="center"/>
      <protection locked="0"/>
    </xf>
    <xf numFmtId="0" fontId="35" fillId="0" borderId="57" xfId="0" applyFont="1" applyBorder="1" applyAlignment="1" applyProtection="1">
      <alignment horizontal="center" vertical="center"/>
      <protection locked="0"/>
    </xf>
    <xf numFmtId="49" fontId="62" fillId="9" borderId="63" xfId="3" applyNumberFormat="1"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49" fontId="62" fillId="9" borderId="1" xfId="3" applyNumberFormat="1" applyFont="1" applyBorder="1" applyAlignment="1" applyProtection="1">
      <alignment horizontal="center" vertical="center"/>
      <protection locked="0"/>
    </xf>
    <xf numFmtId="14" fontId="62" fillId="9" borderId="1" xfId="3" applyNumberFormat="1" applyFont="1" applyBorder="1" applyAlignment="1" applyProtection="1">
      <alignment horizontal="center" vertical="center"/>
      <protection locked="0"/>
    </xf>
    <xf numFmtId="0" fontId="62" fillId="9" borderId="1" xfId="3" applyFont="1" applyBorder="1" applyAlignment="1" applyProtection="1">
      <alignment horizontal="center" vertical="center"/>
      <protection locked="0"/>
    </xf>
    <xf numFmtId="0" fontId="62" fillId="9" borderId="22" xfId="3" applyFont="1" applyBorder="1" applyAlignment="1" applyProtection="1">
      <alignment horizontal="center" vertical="center"/>
      <protection locked="0"/>
    </xf>
    <xf numFmtId="0" fontId="9" fillId="7" borderId="1" xfId="0" applyFont="1" applyFill="1" applyBorder="1" applyAlignment="1" applyProtection="1">
      <alignment horizontal="center"/>
      <protection hidden="1"/>
    </xf>
    <xf numFmtId="0" fontId="9" fillId="7" borderId="22" xfId="0" applyFont="1" applyFill="1" applyBorder="1" applyAlignment="1" applyProtection="1">
      <alignment horizontal="center"/>
      <protection hidden="1"/>
    </xf>
    <xf numFmtId="0" fontId="0" fillId="6" borderId="45" xfId="0" applyFill="1" applyBorder="1" applyAlignment="1" applyProtection="1">
      <alignment horizontal="center"/>
      <protection hidden="1"/>
    </xf>
    <xf numFmtId="0" fontId="0" fillId="6" borderId="46" xfId="0" applyFill="1" applyBorder="1" applyAlignment="1" applyProtection="1">
      <alignment horizontal="center"/>
      <protection hidden="1"/>
    </xf>
    <xf numFmtId="0" fontId="0" fillId="6" borderId="58" xfId="0" applyFill="1" applyBorder="1" applyAlignment="1" applyProtection="1">
      <alignment horizontal="center"/>
      <protection hidden="1"/>
    </xf>
    <xf numFmtId="0" fontId="32" fillId="4" borderId="54" xfId="0" applyFont="1" applyFill="1" applyBorder="1" applyAlignment="1" applyProtection="1">
      <alignment horizontal="center"/>
      <protection hidden="1"/>
    </xf>
    <xf numFmtId="0" fontId="32" fillId="4" borderId="56" xfId="0" applyFont="1" applyFill="1" applyBorder="1" applyAlignment="1" applyProtection="1">
      <alignment horizontal="center"/>
      <protection hidden="1"/>
    </xf>
    <xf numFmtId="0" fontId="15" fillId="4" borderId="54" xfId="0" applyFont="1" applyFill="1" applyBorder="1" applyAlignment="1" applyProtection="1">
      <alignment horizontal="center"/>
      <protection hidden="1"/>
    </xf>
    <xf numFmtId="0" fontId="15" fillId="4" borderId="55" xfId="0" applyFont="1" applyFill="1" applyBorder="1" applyAlignment="1" applyProtection="1">
      <alignment horizontal="center"/>
      <protection hidden="1"/>
    </xf>
    <xf numFmtId="0" fontId="15" fillId="4" borderId="56" xfId="0" applyFont="1" applyFill="1" applyBorder="1" applyAlignment="1" applyProtection="1">
      <alignment horizontal="center"/>
      <protection hidden="1"/>
    </xf>
    <xf numFmtId="0" fontId="35" fillId="3" borderId="14" xfId="0"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hidden="1"/>
    </xf>
    <xf numFmtId="0" fontId="35" fillId="3" borderId="28" xfId="0" applyFont="1" applyFill="1" applyBorder="1" applyAlignment="1" applyProtection="1">
      <alignment horizontal="center" vertical="center" wrapText="1"/>
      <protection hidden="1"/>
    </xf>
    <xf numFmtId="0" fontId="41" fillId="12" borderId="1" xfId="0" applyFont="1" applyFill="1" applyBorder="1" applyAlignment="1" applyProtection="1">
      <alignment horizontal="center"/>
      <protection locked="0"/>
    </xf>
    <xf numFmtId="0" fontId="41" fillId="12" borderId="2" xfId="0" applyFont="1" applyFill="1" applyBorder="1" applyAlignment="1" applyProtection="1">
      <alignment horizontal="center"/>
      <protection locked="0"/>
    </xf>
    <xf numFmtId="0" fontId="19" fillId="5" borderId="3" xfId="0" applyFont="1" applyFill="1" applyBorder="1" applyAlignment="1" applyProtection="1">
      <alignment horizontal="center" vertical="center" wrapText="1"/>
      <protection hidden="1"/>
    </xf>
    <xf numFmtId="0" fontId="19" fillId="5" borderId="10" xfId="0" applyFont="1" applyFill="1" applyBorder="1" applyAlignment="1" applyProtection="1">
      <alignment horizontal="center" vertical="center" wrapText="1"/>
      <protection hidden="1"/>
    </xf>
    <xf numFmtId="0" fontId="62" fillId="21" borderId="61" xfId="0" applyFont="1" applyFill="1" applyBorder="1" applyAlignment="1" applyProtection="1">
      <alignment horizontal="center"/>
      <protection hidden="1"/>
    </xf>
    <xf numFmtId="0" fontId="62" fillId="21" borderId="38" xfId="0" applyFont="1" applyFill="1" applyBorder="1" applyAlignment="1" applyProtection="1">
      <alignment horizontal="center"/>
      <protection hidden="1"/>
    </xf>
    <xf numFmtId="0" fontId="62" fillId="21" borderId="8" xfId="0" applyFont="1" applyFill="1" applyBorder="1" applyAlignment="1" applyProtection="1">
      <alignment horizontal="center"/>
      <protection hidden="1"/>
    </xf>
    <xf numFmtId="0" fontId="0" fillId="3" borderId="3"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0" fontId="0" fillId="5" borderId="3"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3" borderId="62" xfId="0" applyFill="1" applyBorder="1" applyAlignment="1" applyProtection="1">
      <alignment horizontal="center" vertical="center" wrapText="1"/>
      <protection hidden="1"/>
    </xf>
    <xf numFmtId="0" fontId="0" fillId="3" borderId="16" xfId="0" applyFill="1" applyBorder="1" applyAlignment="1" applyProtection="1">
      <alignment horizontal="center" vertical="center" wrapText="1"/>
      <protection hidden="1"/>
    </xf>
    <xf numFmtId="0" fontId="39" fillId="3" borderId="62" xfId="0" applyFont="1" applyFill="1" applyBorder="1" applyAlignment="1" applyProtection="1">
      <alignment horizontal="center" vertical="center" wrapText="1"/>
      <protection hidden="1"/>
    </xf>
    <xf numFmtId="0" fontId="39" fillId="3" borderId="16" xfId="0" applyFont="1" applyFill="1" applyBorder="1" applyAlignment="1" applyProtection="1">
      <alignment horizontal="center" vertical="center" wrapText="1"/>
      <protection hidden="1"/>
    </xf>
    <xf numFmtId="0" fontId="39" fillId="3" borderId="10" xfId="0" applyFont="1" applyFill="1" applyBorder="1" applyAlignment="1" applyProtection="1">
      <alignment horizontal="center" vertical="center" wrapText="1"/>
      <protection hidden="1"/>
    </xf>
    <xf numFmtId="0" fontId="35" fillId="5" borderId="62" xfId="0" applyFont="1" applyFill="1" applyBorder="1" applyAlignment="1" applyProtection="1">
      <alignment horizontal="center" vertical="center" wrapText="1"/>
      <protection hidden="1"/>
    </xf>
    <xf numFmtId="0" fontId="35" fillId="5" borderId="16" xfId="0" applyFont="1" applyFill="1" applyBorder="1" applyAlignment="1" applyProtection="1">
      <alignment horizontal="center" vertical="center" wrapText="1"/>
      <protection hidden="1"/>
    </xf>
    <xf numFmtId="0" fontId="35" fillId="5" borderId="10" xfId="0" applyFont="1" applyFill="1" applyBorder="1" applyAlignment="1" applyProtection="1">
      <alignment horizontal="center" vertical="center" wrapText="1"/>
      <protection hidden="1"/>
    </xf>
    <xf numFmtId="0" fontId="35" fillId="3" borderId="62"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35" fillId="3" borderId="10" xfId="0" applyFont="1" applyFill="1" applyBorder="1" applyAlignment="1" applyProtection="1">
      <alignment horizontal="center" vertical="center" wrapText="1"/>
      <protection hidden="1"/>
    </xf>
    <xf numFmtId="0" fontId="35" fillId="3" borderId="64" xfId="0" applyFont="1" applyFill="1" applyBorder="1" applyAlignment="1" applyProtection="1">
      <alignment horizontal="center" vertical="center" wrapText="1"/>
      <protection hidden="1"/>
    </xf>
    <xf numFmtId="0" fontId="35" fillId="3" borderId="51" xfId="0" applyFont="1" applyFill="1" applyBorder="1" applyAlignment="1" applyProtection="1">
      <alignment horizontal="center" vertical="center" wrapText="1"/>
      <protection hidden="1"/>
    </xf>
    <xf numFmtId="0" fontId="35" fillId="3" borderId="29" xfId="0" applyFont="1" applyFill="1" applyBorder="1" applyAlignment="1" applyProtection="1">
      <alignment horizontal="center" vertical="center" wrapText="1"/>
      <protection hidden="1"/>
    </xf>
    <xf numFmtId="0" fontId="35" fillId="0" borderId="35" xfId="0" applyFont="1" applyBorder="1" applyAlignment="1" applyProtection="1">
      <alignment horizontal="center" vertical="center"/>
      <protection locked="0"/>
    </xf>
    <xf numFmtId="0" fontId="35" fillId="0" borderId="5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41" fillId="3" borderId="1" xfId="0" applyFont="1" applyFill="1" applyBorder="1" applyAlignment="1" applyProtection="1">
      <alignment horizontal="center"/>
      <protection locked="0"/>
    </xf>
    <xf numFmtId="0" fontId="35" fillId="6" borderId="0" xfId="0" applyFont="1" applyFill="1" applyBorder="1" applyAlignment="1" applyProtection="1">
      <alignment horizontal="center"/>
      <protection hidden="1"/>
    </xf>
    <xf numFmtId="0" fontId="0" fillId="0" borderId="0" xfId="0" applyBorder="1" applyAlignment="1" applyProtection="1">
      <alignment horizontal="center"/>
      <protection locked="0"/>
    </xf>
    <xf numFmtId="0" fontId="72" fillId="0" borderId="1" xfId="0" applyFont="1" applyBorder="1" applyAlignment="1" applyProtection="1">
      <alignment horizontal="center"/>
      <protection locked="0"/>
    </xf>
    <xf numFmtId="0" fontId="72" fillId="0" borderId="0" xfId="0" applyFont="1" applyBorder="1" applyAlignment="1" applyProtection="1">
      <alignment horizontal="center"/>
      <protection hidden="1"/>
    </xf>
    <xf numFmtId="0" fontId="72" fillId="0" borderId="15" xfId="0" applyFont="1" applyBorder="1" applyAlignment="1" applyProtection="1">
      <alignment horizontal="center"/>
      <protection hidden="1"/>
    </xf>
    <xf numFmtId="0" fontId="0" fillId="0" borderId="42" xfId="0" applyBorder="1" applyAlignment="1" applyProtection="1">
      <alignment horizontal="center"/>
      <protection hidden="1"/>
    </xf>
    <xf numFmtId="0" fontId="0" fillId="0" borderId="68" xfId="0" applyBorder="1" applyAlignment="1" applyProtection="1">
      <alignment horizontal="center"/>
      <protection hidden="1"/>
    </xf>
    <xf numFmtId="0" fontId="80" fillId="0" borderId="0" xfId="2" applyFont="1" applyAlignment="1" applyProtection="1">
      <alignment horizontal="center" vertical="center"/>
      <protection locked="0"/>
    </xf>
    <xf numFmtId="0" fontId="35" fillId="0" borderId="0" xfId="0" applyFont="1" applyBorder="1" applyAlignment="1" applyProtection="1">
      <alignment horizontal="left" vertical="top"/>
      <protection hidden="1"/>
    </xf>
    <xf numFmtId="0" fontId="35" fillId="0" borderId="17" xfId="0" applyFont="1" applyBorder="1" applyAlignment="1" applyProtection="1">
      <alignment horizontal="left" vertical="top"/>
      <protection hidden="1"/>
    </xf>
    <xf numFmtId="2" fontId="48" fillId="0" borderId="0" xfId="0" applyNumberFormat="1" applyFont="1" applyBorder="1" applyAlignment="1" applyProtection="1">
      <alignment horizontal="center" vertical="center"/>
      <protection hidden="1"/>
    </xf>
    <xf numFmtId="0" fontId="44" fillId="0" borderId="5" xfId="0" applyFont="1" applyBorder="1" applyAlignment="1" applyProtection="1">
      <alignment horizontal="center"/>
      <protection hidden="1"/>
    </xf>
    <xf numFmtId="0" fontId="44" fillId="0" borderId="28" xfId="0" applyFont="1" applyBorder="1" applyAlignment="1" applyProtection="1">
      <alignment horizontal="center"/>
      <protection hidden="1"/>
    </xf>
    <xf numFmtId="2" fontId="35" fillId="0" borderId="2" xfId="0" applyNumberFormat="1" applyFont="1" applyBorder="1" applyAlignment="1" applyProtection="1">
      <alignment horizontal="center" vertical="center"/>
      <protection hidden="1"/>
    </xf>
    <xf numFmtId="2" fontId="35" fillId="0" borderId="24" xfId="0" applyNumberFormat="1" applyFont="1" applyBorder="1" applyAlignment="1" applyProtection="1">
      <alignment horizontal="center" vertical="center"/>
      <protection hidden="1"/>
    </xf>
    <xf numFmtId="2" fontId="35" fillId="0" borderId="2" xfId="0" applyNumberFormat="1" applyFont="1" applyBorder="1" applyAlignment="1" applyProtection="1">
      <alignment horizontal="center"/>
      <protection hidden="1"/>
    </xf>
    <xf numFmtId="2" fontId="35" fillId="0" borderId="4" xfId="0" applyNumberFormat="1" applyFont="1" applyBorder="1" applyAlignment="1" applyProtection="1">
      <alignment horizontal="center"/>
      <protection hidden="1"/>
    </xf>
    <xf numFmtId="0" fontId="41" fillId="6" borderId="23" xfId="0" applyFont="1" applyFill="1" applyBorder="1" applyAlignment="1" applyProtection="1">
      <alignment horizontal="center"/>
      <protection hidden="1"/>
    </xf>
    <xf numFmtId="0" fontId="41" fillId="6" borderId="9" xfId="0" applyFont="1" applyFill="1" applyBorder="1" applyAlignment="1" applyProtection="1">
      <alignment horizontal="center"/>
      <protection hidden="1"/>
    </xf>
    <xf numFmtId="0" fontId="41" fillId="6" borderId="4" xfId="0" applyFont="1" applyFill="1" applyBorder="1" applyAlignment="1" applyProtection="1">
      <alignment horizontal="center"/>
      <protection hidden="1"/>
    </xf>
    <xf numFmtId="0" fontId="35" fillId="0" borderId="0" xfId="0"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35" fillId="0" borderId="23" xfId="0" applyFont="1" applyBorder="1" applyAlignment="1" applyProtection="1">
      <alignment horizontal="left" vertical="center"/>
      <protection hidden="1"/>
    </xf>
    <xf numFmtId="0" fontId="35" fillId="0" borderId="9" xfId="0" applyFont="1" applyBorder="1" applyAlignment="1" applyProtection="1">
      <alignment horizontal="left" vertical="center"/>
      <protection hidden="1"/>
    </xf>
    <xf numFmtId="0" fontId="35" fillId="0" borderId="4" xfId="0" applyFont="1" applyBorder="1" applyAlignment="1" applyProtection="1">
      <alignment horizontal="left" vertical="center"/>
      <protection hidden="1"/>
    </xf>
    <xf numFmtId="0" fontId="33" fillId="0" borderId="0"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5" fillId="0" borderId="4" xfId="0" applyFont="1" applyBorder="1" applyAlignment="1" applyProtection="1">
      <alignment horizontal="center" vertical="center"/>
      <protection hidden="1"/>
    </xf>
    <xf numFmtId="2" fontId="35" fillId="0" borderId="9" xfId="0" applyNumberFormat="1" applyFont="1" applyBorder="1" applyAlignment="1" applyProtection="1">
      <alignment horizontal="center"/>
      <protection hidden="1"/>
    </xf>
    <xf numFmtId="2" fontId="35" fillId="0" borderId="24" xfId="0" applyNumberFormat="1"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9" xfId="0" applyFont="1" applyBorder="1" applyAlignment="1" applyProtection="1">
      <alignment horizontal="center"/>
      <protection hidden="1"/>
    </xf>
    <xf numFmtId="0" fontId="35" fillId="0" borderId="4" xfId="0" applyFont="1" applyBorder="1" applyAlignment="1" applyProtection="1">
      <alignment horizontal="center"/>
      <protection hidden="1"/>
    </xf>
    <xf numFmtId="0" fontId="35" fillId="0" borderId="2" xfId="0" applyFont="1" applyBorder="1" applyAlignment="1" applyProtection="1">
      <alignment horizontal="center"/>
      <protection hidden="1"/>
    </xf>
    <xf numFmtId="0" fontId="51"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2" fontId="15" fillId="0" borderId="1" xfId="0" applyNumberFormat="1" applyFont="1" applyBorder="1" applyAlignment="1" applyProtection="1">
      <alignment horizontal="center"/>
      <protection hidden="1"/>
    </xf>
    <xf numFmtId="2" fontId="15" fillId="0" borderId="22" xfId="0" applyNumberFormat="1" applyFont="1" applyBorder="1" applyAlignment="1" applyProtection="1">
      <alignment horizontal="center"/>
      <protection hidden="1"/>
    </xf>
    <xf numFmtId="0" fontId="35" fillId="0" borderId="11" xfId="0" applyFont="1" applyBorder="1" applyAlignment="1" applyProtection="1">
      <alignment horizontal="center"/>
      <protection hidden="1"/>
    </xf>
    <xf numFmtId="0" fontId="35" fillId="0" borderId="12" xfId="0" applyFont="1" applyBorder="1" applyAlignment="1" applyProtection="1">
      <alignment horizontal="center"/>
      <protection hidden="1"/>
    </xf>
    <xf numFmtId="0" fontId="35" fillId="0" borderId="14" xfId="0" applyFont="1" applyBorder="1" applyAlignment="1" applyProtection="1">
      <alignment horizontal="center"/>
      <protection hidden="1"/>
    </xf>
    <xf numFmtId="0" fontId="35" fillId="0" borderId="15" xfId="0" applyFont="1" applyBorder="1" applyAlignment="1" applyProtection="1">
      <alignment horizontal="center"/>
      <protection hidden="1"/>
    </xf>
    <xf numFmtId="0" fontId="35" fillId="0" borderId="7" xfId="0" applyFont="1" applyBorder="1" applyAlignment="1" applyProtection="1">
      <alignment horizontal="center"/>
      <protection hidden="1"/>
    </xf>
    <xf numFmtId="0" fontId="35" fillId="0" borderId="8" xfId="0" applyFont="1" applyBorder="1" applyAlignment="1" applyProtection="1">
      <alignment horizontal="center"/>
      <protection hidden="1"/>
    </xf>
    <xf numFmtId="0" fontId="68" fillId="0" borderId="0" xfId="0" applyFont="1" applyBorder="1" applyAlignment="1" applyProtection="1">
      <alignment horizontal="center" vertical="center"/>
      <protection hidden="1"/>
    </xf>
    <xf numFmtId="0" fontId="35" fillId="0" borderId="26" xfId="0" applyFont="1" applyBorder="1" applyAlignment="1" applyProtection="1">
      <alignment horizontal="center"/>
      <protection hidden="1"/>
    </xf>
    <xf numFmtId="0" fontId="35" fillId="0" borderId="31" xfId="0" applyFont="1" applyBorder="1" applyAlignment="1" applyProtection="1">
      <alignment horizontal="center"/>
      <protection hidden="1"/>
    </xf>
    <xf numFmtId="0" fontId="35" fillId="0" borderId="30" xfId="0" applyFont="1" applyBorder="1" applyAlignment="1" applyProtection="1">
      <alignment horizontal="center"/>
      <protection hidden="1"/>
    </xf>
    <xf numFmtId="2" fontId="41" fillId="0" borderId="9" xfId="0" applyNumberFormat="1" applyFont="1" applyBorder="1" applyAlignment="1" applyProtection="1">
      <alignment horizontal="center"/>
      <protection hidden="1"/>
    </xf>
    <xf numFmtId="2" fontId="41" fillId="0" borderId="4" xfId="0" applyNumberFormat="1" applyFont="1" applyBorder="1" applyAlignment="1" applyProtection="1">
      <alignment horizontal="center"/>
      <protection hidden="1"/>
    </xf>
    <xf numFmtId="14" fontId="35" fillId="0" borderId="2" xfId="0" applyNumberFormat="1" applyFont="1" applyBorder="1" applyAlignment="1" applyProtection="1">
      <alignment horizontal="center"/>
      <protection hidden="1"/>
    </xf>
    <xf numFmtId="14" fontId="35" fillId="0" borderId="9" xfId="0" applyNumberFormat="1" applyFont="1" applyBorder="1" applyAlignment="1" applyProtection="1">
      <alignment horizontal="center"/>
      <protection hidden="1"/>
    </xf>
    <xf numFmtId="14" fontId="35" fillId="0" borderId="4" xfId="0" applyNumberFormat="1" applyFont="1" applyBorder="1" applyAlignment="1" applyProtection="1">
      <alignment horizontal="center"/>
      <protection hidden="1"/>
    </xf>
    <xf numFmtId="0" fontId="41" fillId="0" borderId="14" xfId="0"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0" borderId="17" xfId="0" applyFont="1" applyBorder="1" applyAlignment="1" applyProtection="1">
      <alignment horizontal="center" vertical="center"/>
      <protection hidden="1"/>
    </xf>
    <xf numFmtId="0" fontId="35" fillId="0" borderId="27" xfId="0" applyFont="1" applyBorder="1" applyAlignment="1" applyProtection="1">
      <alignment horizontal="center"/>
      <protection hidden="1"/>
    </xf>
    <xf numFmtId="0" fontId="35" fillId="0" borderId="5" xfId="0" applyFont="1" applyBorder="1" applyAlignment="1" applyProtection="1">
      <alignment horizontal="center"/>
      <protection hidden="1"/>
    </xf>
    <xf numFmtId="0" fontId="34" fillId="0" borderId="0" xfId="0" applyFont="1" applyBorder="1" applyAlignment="1" applyProtection="1">
      <alignment horizontal="center"/>
      <protection hidden="1"/>
    </xf>
    <xf numFmtId="0" fontId="34" fillId="0" borderId="17" xfId="0" applyFont="1" applyBorder="1" applyAlignment="1" applyProtection="1">
      <alignment horizontal="center"/>
      <protection hidden="1"/>
    </xf>
    <xf numFmtId="0" fontId="42" fillId="0" borderId="40" xfId="0" applyFont="1" applyBorder="1" applyAlignment="1" applyProtection="1">
      <alignment horizontal="left"/>
      <protection hidden="1"/>
    </xf>
    <xf numFmtId="0" fontId="42" fillId="0" borderId="0" xfId="0" applyFont="1" applyBorder="1" applyAlignment="1" applyProtection="1">
      <alignment horizontal="left"/>
      <protection hidden="1"/>
    </xf>
    <xf numFmtId="0" fontId="42" fillId="0" borderId="15" xfId="0" applyFont="1" applyBorder="1" applyAlignment="1" applyProtection="1">
      <alignment horizontal="left"/>
      <protection hidden="1"/>
    </xf>
    <xf numFmtId="0" fontId="16" fillId="0" borderId="23" xfId="0" applyFont="1" applyBorder="1" applyAlignment="1" applyProtection="1">
      <alignment horizontal="left"/>
      <protection hidden="1"/>
    </xf>
    <xf numFmtId="0" fontId="16" fillId="0" borderId="4" xfId="0" applyFont="1" applyBorder="1" applyAlignment="1" applyProtection="1">
      <alignment horizontal="left"/>
      <protection hidden="1"/>
    </xf>
    <xf numFmtId="0" fontId="17" fillId="8" borderId="23" xfId="0" applyFont="1" applyFill="1" applyBorder="1" applyAlignment="1" applyProtection="1">
      <alignment horizontal="center"/>
      <protection hidden="1"/>
    </xf>
    <xf numFmtId="0" fontId="17" fillId="8" borderId="9" xfId="0" applyFont="1" applyFill="1" applyBorder="1" applyAlignment="1" applyProtection="1">
      <alignment horizontal="center"/>
      <protection hidden="1"/>
    </xf>
    <xf numFmtId="0" fontId="17" fillId="8" borderId="4" xfId="0" applyFont="1" applyFill="1" applyBorder="1" applyAlignment="1" applyProtection="1">
      <alignment horizontal="center"/>
      <protection hidden="1"/>
    </xf>
    <xf numFmtId="0" fontId="16" fillId="0" borderId="2" xfId="0" applyFont="1" applyBorder="1" applyAlignment="1" applyProtection="1">
      <alignment horizontal="left"/>
      <protection hidden="1"/>
    </xf>
    <xf numFmtId="0" fontId="16" fillId="0" borderId="9" xfId="0" applyFont="1" applyBorder="1" applyAlignment="1" applyProtection="1">
      <alignment horizontal="left"/>
      <protection hidden="1"/>
    </xf>
    <xf numFmtId="0" fontId="37" fillId="11" borderId="9" xfId="5" applyBorder="1" applyAlignment="1" applyProtection="1">
      <alignment horizontal="center"/>
      <protection hidden="1"/>
    </xf>
    <xf numFmtId="2" fontId="33" fillId="0" borderId="1" xfId="0" applyNumberFormat="1" applyFont="1" applyBorder="1" applyAlignment="1" applyProtection="1">
      <alignment horizontal="center"/>
      <protection hidden="1"/>
    </xf>
    <xf numFmtId="0" fontId="33" fillId="0" borderId="1" xfId="0" applyFont="1" applyBorder="1" applyAlignment="1" applyProtection="1">
      <alignment horizontal="center"/>
      <protection hidden="1"/>
    </xf>
    <xf numFmtId="0" fontId="13" fillId="0" borderId="1" xfId="0" applyFont="1" applyBorder="1" applyAlignment="1" applyProtection="1">
      <alignment horizontal="left"/>
      <protection hidden="1"/>
    </xf>
    <xf numFmtId="0" fontId="41" fillId="6" borderId="23" xfId="0" applyFont="1" applyFill="1" applyBorder="1" applyAlignment="1" applyProtection="1">
      <alignment horizontal="center" vertical="center"/>
      <protection hidden="1"/>
    </xf>
    <xf numFmtId="0" fontId="41" fillId="6" borderId="9" xfId="0" applyFont="1" applyFill="1" applyBorder="1" applyAlignment="1" applyProtection="1">
      <alignment horizontal="center" vertical="center"/>
      <protection hidden="1"/>
    </xf>
    <xf numFmtId="0" fontId="41" fillId="6" borderId="24" xfId="0" applyFont="1" applyFill="1" applyBorder="1" applyAlignment="1" applyProtection="1">
      <alignment horizontal="center" vertical="center"/>
      <protection hidden="1"/>
    </xf>
    <xf numFmtId="0" fontId="27" fillId="0" borderId="11" xfId="0" applyFont="1" applyBorder="1" applyAlignment="1" applyProtection="1">
      <alignment horizontal="center" vertical="center" wrapText="1"/>
      <protection hidden="1"/>
    </xf>
    <xf numFmtId="0" fontId="27" fillId="0" borderId="44" xfId="0" applyFont="1" applyBorder="1" applyAlignment="1" applyProtection="1">
      <alignment horizontal="center" vertical="center" wrapText="1"/>
      <protection hidden="1"/>
    </xf>
    <xf numFmtId="0" fontId="27" fillId="0" borderId="7" xfId="0" applyFont="1" applyBorder="1" applyAlignment="1" applyProtection="1">
      <alignment horizontal="center" vertical="center" wrapText="1"/>
      <protection hidden="1"/>
    </xf>
    <xf numFmtId="0" fontId="27" fillId="0" borderId="28" xfId="0" applyFont="1" applyBorder="1" applyAlignment="1" applyProtection="1">
      <alignment horizontal="center" vertical="center" wrapText="1"/>
      <protection hidden="1"/>
    </xf>
    <xf numFmtId="0" fontId="58" fillId="0" borderId="11" xfId="0" applyFont="1" applyBorder="1" applyAlignment="1" applyProtection="1">
      <alignment horizontal="center" vertical="center" wrapText="1"/>
      <protection hidden="1"/>
    </xf>
    <xf numFmtId="0" fontId="58" fillId="0" borderId="12" xfId="0" applyFont="1" applyBorder="1" applyAlignment="1" applyProtection="1">
      <alignment horizontal="center" vertical="center" wrapText="1"/>
      <protection hidden="1"/>
    </xf>
    <xf numFmtId="0" fontId="58" fillId="0" borderId="7"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2" fontId="41" fillId="0" borderId="2" xfId="0" applyNumberFormat="1" applyFont="1" applyBorder="1" applyAlignment="1" applyProtection="1">
      <alignment horizontal="center"/>
      <protection hidden="1"/>
    </xf>
    <xf numFmtId="2" fontId="41" fillId="0" borderId="24" xfId="0" applyNumberFormat="1" applyFont="1" applyBorder="1" applyAlignment="1" applyProtection="1">
      <alignment horizontal="center"/>
      <protection hidden="1"/>
    </xf>
    <xf numFmtId="0" fontId="35" fillId="0" borderId="1" xfId="0" applyFont="1" applyBorder="1" applyAlignment="1" applyProtection="1">
      <alignment horizontal="center"/>
      <protection hidden="1"/>
    </xf>
    <xf numFmtId="0" fontId="41" fillId="0" borderId="2" xfId="0" applyFont="1" applyBorder="1" applyAlignment="1" applyProtection="1">
      <alignment horizontal="center"/>
      <protection hidden="1"/>
    </xf>
    <xf numFmtId="0" fontId="41" fillId="0" borderId="9" xfId="0" applyFont="1" applyBorder="1" applyAlignment="1" applyProtection="1">
      <alignment horizontal="center"/>
      <protection hidden="1"/>
    </xf>
    <xf numFmtId="0" fontId="41" fillId="0" borderId="24" xfId="0" applyFont="1" applyBorder="1" applyAlignment="1" applyProtection="1">
      <alignment horizontal="center"/>
      <protection hidden="1"/>
    </xf>
    <xf numFmtId="0" fontId="40" fillId="0" borderId="2" xfId="0" applyFont="1" applyBorder="1" applyAlignment="1" applyProtection="1">
      <alignment horizontal="center"/>
      <protection hidden="1"/>
    </xf>
    <xf numFmtId="0" fontId="40" fillId="0" borderId="9" xfId="0" applyFont="1" applyBorder="1" applyAlignment="1" applyProtection="1">
      <alignment horizontal="center"/>
      <protection hidden="1"/>
    </xf>
    <xf numFmtId="0" fontId="40" fillId="0" borderId="4" xfId="0" applyFont="1" applyBorder="1" applyAlignment="1" applyProtection="1">
      <alignment horizontal="center"/>
      <protection hidden="1"/>
    </xf>
    <xf numFmtId="0" fontId="13" fillId="0" borderId="2"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24" xfId="0" applyFont="1" applyBorder="1" applyAlignment="1" applyProtection="1">
      <alignment horizontal="center"/>
      <protection hidden="1"/>
    </xf>
    <xf numFmtId="0" fontId="58" fillId="0" borderId="6"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35" fillId="0" borderId="24" xfId="0" applyFont="1" applyBorder="1" applyAlignment="1" applyProtection="1">
      <alignment horizontal="center"/>
      <protection hidden="1"/>
    </xf>
    <xf numFmtId="0" fontId="15" fillId="0" borderId="1" xfId="0" applyFont="1" applyBorder="1" applyAlignment="1" applyProtection="1">
      <alignment horizontal="center"/>
      <protection hidden="1"/>
    </xf>
    <xf numFmtId="0" fontId="15" fillId="0" borderId="22" xfId="0" applyFont="1" applyBorder="1" applyAlignment="1" applyProtection="1">
      <alignment horizontal="center"/>
      <protection hidden="1"/>
    </xf>
    <xf numFmtId="2" fontId="33" fillId="0" borderId="2" xfId="0" applyNumberFormat="1" applyFont="1" applyBorder="1" applyAlignment="1" applyProtection="1">
      <alignment horizontal="center"/>
      <protection locked="0"/>
    </xf>
    <xf numFmtId="2" fontId="33" fillId="0" borderId="9" xfId="0" applyNumberFormat="1" applyFont="1" applyBorder="1" applyAlignment="1" applyProtection="1">
      <alignment horizontal="center"/>
      <protection locked="0"/>
    </xf>
    <xf numFmtId="2" fontId="33" fillId="0" borderId="4" xfId="0" applyNumberFormat="1" applyFont="1" applyBorder="1" applyAlignment="1" applyProtection="1">
      <alignment horizontal="center"/>
      <protection locked="0"/>
    </xf>
    <xf numFmtId="0" fontId="13" fillId="0" borderId="23"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4" xfId="0" applyFont="1" applyBorder="1" applyAlignment="1" applyProtection="1">
      <alignment horizontal="left" vertical="center"/>
      <protection hidden="1"/>
    </xf>
    <xf numFmtId="0" fontId="19" fillId="0" borderId="23" xfId="0" applyFont="1" applyBorder="1" applyAlignment="1" applyProtection="1">
      <alignment horizontal="left"/>
      <protection hidden="1"/>
    </xf>
    <xf numFmtId="0" fontId="19" fillId="0" borderId="4" xfId="0" applyFont="1" applyBorder="1" applyAlignment="1" applyProtection="1">
      <alignment horizontal="left"/>
      <protection hidden="1"/>
    </xf>
    <xf numFmtId="0" fontId="13" fillId="8" borderId="1" xfId="0" applyFont="1" applyFill="1" applyBorder="1" applyAlignment="1" applyProtection="1">
      <alignment horizontal="left"/>
      <protection hidden="1"/>
    </xf>
    <xf numFmtId="0" fontId="12" fillId="3" borderId="23" xfId="0" applyFont="1" applyFill="1" applyBorder="1" applyAlignment="1" applyProtection="1">
      <alignment horizontal="center"/>
      <protection hidden="1"/>
    </xf>
    <xf numFmtId="0" fontId="12" fillId="3" borderId="9" xfId="0" applyFont="1" applyFill="1" applyBorder="1" applyAlignment="1" applyProtection="1">
      <alignment horizontal="center"/>
      <protection hidden="1"/>
    </xf>
    <xf numFmtId="0" fontId="34" fillId="0" borderId="17" xfId="0" applyFont="1" applyBorder="1" applyAlignment="1" applyProtection="1">
      <alignment horizontal="center" vertical="center"/>
      <protection hidden="1"/>
    </xf>
    <xf numFmtId="0" fontId="35" fillId="0" borderId="2"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14" fontId="35" fillId="0" borderId="2" xfId="0" applyNumberFormat="1" applyFont="1" applyBorder="1" applyAlignment="1" applyProtection="1">
      <alignment horizontal="center" vertical="center"/>
      <protection hidden="1"/>
    </xf>
    <xf numFmtId="14" fontId="35" fillId="0" borderId="9" xfId="0" applyNumberFormat="1" applyFont="1" applyBorder="1" applyAlignment="1" applyProtection="1">
      <alignment horizontal="center" vertical="center"/>
      <protection hidden="1"/>
    </xf>
    <xf numFmtId="14" fontId="35" fillId="0" borderId="4" xfId="0" applyNumberFormat="1" applyFont="1" applyBorder="1" applyAlignment="1" applyProtection="1">
      <alignment horizontal="center" vertical="center"/>
      <protection hidden="1"/>
    </xf>
    <xf numFmtId="0" fontId="35" fillId="0" borderId="11" xfId="0" applyFont="1" applyBorder="1" applyAlignment="1" applyProtection="1">
      <alignment horizontal="center" vertical="center" wrapText="1"/>
      <protection hidden="1"/>
    </xf>
    <xf numFmtId="0" fontId="35" fillId="0" borderId="6" xfId="0" applyFont="1" applyBorder="1" applyAlignment="1" applyProtection="1">
      <alignment horizontal="center" vertical="center" wrapText="1"/>
      <protection hidden="1"/>
    </xf>
    <xf numFmtId="0" fontId="35" fillId="0" borderId="12" xfId="0" applyFont="1" applyBorder="1" applyAlignment="1" applyProtection="1">
      <alignment horizontal="center" vertical="center" wrapText="1"/>
      <protection hidden="1"/>
    </xf>
    <xf numFmtId="0" fontId="35" fillId="0" borderId="7" xfId="0" applyFont="1" applyBorder="1" applyAlignment="1" applyProtection="1">
      <alignment horizontal="center" vertical="center" wrapText="1"/>
      <protection hidden="1"/>
    </xf>
    <xf numFmtId="0" fontId="35" fillId="0" borderId="5" xfId="0" applyFont="1" applyBorder="1" applyAlignment="1" applyProtection="1">
      <alignment horizontal="center" vertical="center" wrapText="1"/>
      <protection hidden="1"/>
    </xf>
    <xf numFmtId="0" fontId="35" fillId="0" borderId="8" xfId="0" applyFont="1" applyBorder="1" applyAlignment="1" applyProtection="1">
      <alignment horizontal="center" vertical="center" wrapText="1"/>
      <protection hidden="1"/>
    </xf>
    <xf numFmtId="0" fontId="35" fillId="6" borderId="40" xfId="0" applyFont="1" applyFill="1" applyBorder="1" applyAlignment="1" applyProtection="1">
      <alignment horizontal="left" vertical="center"/>
      <protection hidden="1"/>
    </xf>
    <xf numFmtId="0" fontId="35" fillId="6" borderId="0" xfId="0" applyFont="1" applyFill="1" applyBorder="1" applyAlignment="1" applyProtection="1">
      <alignment horizontal="left" vertical="center"/>
      <protection hidden="1"/>
    </xf>
    <xf numFmtId="0" fontId="35" fillId="6" borderId="17" xfId="0" applyFont="1" applyFill="1" applyBorder="1" applyAlignment="1" applyProtection="1">
      <alignment horizontal="left" vertical="center"/>
      <protection hidden="1"/>
    </xf>
    <xf numFmtId="0" fontId="19" fillId="0" borderId="23" xfId="0" applyFont="1" applyBorder="1" applyAlignment="1" applyProtection="1">
      <alignment horizontal="center"/>
      <protection hidden="1"/>
    </xf>
    <xf numFmtId="0" fontId="19" fillId="0" borderId="9" xfId="0" applyFont="1" applyBorder="1" applyAlignment="1" applyProtection="1">
      <alignment horizontal="center"/>
      <protection hidden="1"/>
    </xf>
    <xf numFmtId="0" fontId="19" fillId="0" borderId="4" xfId="0" applyFont="1" applyBorder="1" applyAlignment="1" applyProtection="1">
      <alignment horizontal="center"/>
      <protection hidden="1"/>
    </xf>
    <xf numFmtId="0" fontId="35" fillId="0" borderId="40" xfId="0" applyFont="1" applyBorder="1" applyAlignment="1" applyProtection="1">
      <alignment horizontal="center" vertical="center"/>
      <protection hidden="1"/>
    </xf>
    <xf numFmtId="0" fontId="35" fillId="0" borderId="15" xfId="0" applyFont="1" applyBorder="1" applyAlignment="1" applyProtection="1">
      <alignment horizontal="center" vertical="center"/>
      <protection hidden="1"/>
    </xf>
    <xf numFmtId="0" fontId="35" fillId="0" borderId="27" xfId="0" applyFont="1" applyBorder="1" applyAlignment="1" applyProtection="1">
      <alignment horizontal="center" vertical="center"/>
      <protection hidden="1"/>
    </xf>
    <xf numFmtId="0" fontId="35" fillId="0" borderId="5"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41" fillId="0" borderId="23" xfId="0" applyFont="1" applyBorder="1" applyAlignment="1" applyProtection="1">
      <alignment horizontal="left" vertical="center"/>
      <protection hidden="1"/>
    </xf>
    <xf numFmtId="0" fontId="41" fillId="0" borderId="9" xfId="0" applyFont="1" applyBorder="1" applyAlignment="1" applyProtection="1">
      <alignment horizontal="left" vertical="center"/>
      <protection hidden="1"/>
    </xf>
    <xf numFmtId="0" fontId="41" fillId="0" borderId="4" xfId="0" applyFont="1" applyBorder="1" applyAlignment="1" applyProtection="1">
      <alignment horizontal="left" vertical="center"/>
      <protection hidden="1"/>
    </xf>
    <xf numFmtId="0" fontId="35" fillId="0" borderId="10" xfId="0" applyFont="1" applyBorder="1" applyAlignment="1" applyProtection="1">
      <alignment horizontal="left" vertical="center"/>
      <protection hidden="1"/>
    </xf>
    <xf numFmtId="0" fontId="35" fillId="0" borderId="3" xfId="0" applyFont="1" applyBorder="1" applyAlignment="1" applyProtection="1">
      <alignment horizontal="left" vertical="center"/>
      <protection hidden="1"/>
    </xf>
    <xf numFmtId="2" fontId="35" fillId="0" borderId="10" xfId="0" applyNumberFormat="1" applyFont="1" applyBorder="1" applyAlignment="1" applyProtection="1">
      <alignment horizontal="center"/>
      <protection hidden="1"/>
    </xf>
    <xf numFmtId="2" fontId="35" fillId="0" borderId="1" xfId="0" applyNumberFormat="1" applyFont="1" applyBorder="1" applyAlignment="1" applyProtection="1">
      <alignment horizontal="center"/>
      <protection hidden="1"/>
    </xf>
    <xf numFmtId="0" fontId="41" fillId="0" borderId="9" xfId="0" applyFont="1" applyBorder="1" applyAlignment="1" applyProtection="1">
      <alignment horizontal="center" vertical="center"/>
      <protection hidden="1"/>
    </xf>
    <xf numFmtId="0" fontId="41" fillId="0" borderId="24" xfId="0" applyFont="1" applyBorder="1" applyAlignment="1" applyProtection="1">
      <alignment horizontal="center" vertical="center"/>
      <protection hidden="1"/>
    </xf>
    <xf numFmtId="0" fontId="41" fillId="0" borderId="11" xfId="0" applyFont="1" applyBorder="1" applyAlignment="1" applyProtection="1">
      <alignment horizontal="center"/>
      <protection hidden="1"/>
    </xf>
    <xf numFmtId="0" fontId="41" fillId="0" borderId="12" xfId="0" applyFont="1" applyBorder="1" applyAlignment="1" applyProtection="1">
      <alignment horizontal="center"/>
      <protection hidden="1"/>
    </xf>
    <xf numFmtId="0" fontId="41" fillId="0" borderId="14" xfId="0" applyFont="1" applyBorder="1" applyAlignment="1" applyProtection="1">
      <alignment horizontal="center"/>
      <protection hidden="1"/>
    </xf>
    <xf numFmtId="0" fontId="41" fillId="0" borderId="15" xfId="0" applyFont="1" applyBorder="1" applyAlignment="1" applyProtection="1">
      <alignment horizontal="center"/>
      <protection hidden="1"/>
    </xf>
    <xf numFmtId="0" fontId="41" fillId="0" borderId="7" xfId="0" applyFont="1" applyBorder="1" applyAlignment="1" applyProtection="1">
      <alignment horizontal="center"/>
      <protection hidden="1"/>
    </xf>
    <xf numFmtId="0" fontId="41" fillId="0" borderId="8" xfId="0" applyFont="1" applyBorder="1" applyAlignment="1" applyProtection="1">
      <alignment horizontal="center"/>
      <protection hidden="1"/>
    </xf>
    <xf numFmtId="0" fontId="42" fillId="0" borderId="11" xfId="0" applyFont="1" applyBorder="1" applyAlignment="1" applyProtection="1">
      <alignment horizontal="center" vertical="center" wrapText="1"/>
      <protection hidden="1"/>
    </xf>
    <xf numFmtId="0" fontId="42" fillId="0" borderId="6" xfId="0" applyFont="1" applyBorder="1" applyAlignment="1" applyProtection="1">
      <alignment horizontal="center" vertical="center" wrapText="1"/>
      <protection hidden="1"/>
    </xf>
    <xf numFmtId="0" fontId="42" fillId="0" borderId="12" xfId="0" applyFont="1" applyBorder="1" applyAlignment="1" applyProtection="1">
      <alignment horizontal="center" vertical="center" wrapText="1"/>
      <protection hidden="1"/>
    </xf>
    <xf numFmtId="0" fontId="42" fillId="0" borderId="7" xfId="0" applyFont="1" applyBorder="1" applyAlignment="1" applyProtection="1">
      <alignment horizontal="center" vertical="center" wrapText="1"/>
      <protection hidden="1"/>
    </xf>
    <xf numFmtId="0" fontId="42" fillId="0" borderId="5" xfId="0" applyFont="1" applyBorder="1" applyAlignment="1" applyProtection="1">
      <alignment horizontal="center" vertical="center" wrapText="1"/>
      <protection hidden="1"/>
    </xf>
    <xf numFmtId="0" fontId="42" fillId="0" borderId="8" xfId="0" applyFont="1" applyBorder="1" applyAlignment="1" applyProtection="1">
      <alignment horizontal="center" vertical="center" wrapText="1"/>
      <protection hidden="1"/>
    </xf>
    <xf numFmtId="0" fontId="47" fillId="0" borderId="0" xfId="0" applyFont="1" applyBorder="1" applyAlignment="1" applyProtection="1">
      <alignment horizontal="left" vertical="center" shrinkToFit="1"/>
      <protection hidden="1"/>
    </xf>
    <xf numFmtId="0" fontId="35" fillId="0" borderId="0" xfId="0" applyFont="1" applyBorder="1" applyAlignment="1" applyProtection="1">
      <alignment horizontal="left" vertical="top" wrapText="1"/>
      <protection hidden="1"/>
    </xf>
    <xf numFmtId="0" fontId="35" fillId="0" borderId="17" xfId="0" applyFont="1" applyBorder="1" applyAlignment="1" applyProtection="1">
      <alignment horizontal="left" vertical="top" wrapText="1"/>
      <protection hidden="1"/>
    </xf>
    <xf numFmtId="0" fontId="34" fillId="0" borderId="0" xfId="0" applyFont="1" applyBorder="1" applyAlignment="1" applyProtection="1">
      <alignment horizontal="right" vertical="center"/>
      <protection hidden="1"/>
    </xf>
    <xf numFmtId="0" fontId="34" fillId="0" borderId="17" xfId="0" applyFont="1" applyBorder="1" applyAlignment="1" applyProtection="1">
      <alignment horizontal="right" vertical="center"/>
      <protection hidden="1"/>
    </xf>
    <xf numFmtId="0" fontId="41" fillId="6" borderId="25" xfId="0" applyFont="1" applyFill="1" applyBorder="1" applyAlignment="1" applyProtection="1">
      <alignment horizontal="center"/>
      <protection hidden="1"/>
    </xf>
    <xf numFmtId="0" fontId="41" fillId="6" borderId="6" xfId="0" applyFont="1" applyFill="1" applyBorder="1" applyAlignment="1" applyProtection="1">
      <alignment horizontal="center"/>
      <protection hidden="1"/>
    </xf>
    <xf numFmtId="0" fontId="41" fillId="6" borderId="44" xfId="0" applyFont="1" applyFill="1" applyBorder="1" applyAlignment="1" applyProtection="1">
      <alignment horizontal="center"/>
      <protection hidden="1"/>
    </xf>
    <xf numFmtId="0" fontId="41" fillId="0" borderId="2" xfId="0" applyNumberFormat="1" applyFont="1" applyBorder="1" applyAlignment="1" applyProtection="1">
      <alignment horizontal="center"/>
      <protection hidden="1"/>
    </xf>
    <xf numFmtId="0" fontId="41" fillId="0" borderId="9" xfId="0" applyNumberFormat="1" applyFont="1" applyBorder="1" applyAlignment="1" applyProtection="1">
      <alignment horizontal="center"/>
      <protection hidden="1"/>
    </xf>
    <xf numFmtId="0" fontId="41" fillId="0" borderId="24" xfId="0" applyNumberFormat="1" applyFont="1" applyBorder="1" applyAlignment="1" applyProtection="1">
      <alignment horizontal="center"/>
      <protection hidden="1"/>
    </xf>
    <xf numFmtId="2" fontId="47" fillId="0" borderId="0" xfId="0" applyNumberFormat="1" applyFont="1" applyBorder="1" applyAlignment="1" applyProtection="1">
      <alignment horizontal="center" vertical="center"/>
      <protection hidden="1"/>
    </xf>
    <xf numFmtId="0" fontId="35" fillId="0" borderId="6" xfId="0" applyFont="1" applyBorder="1" applyAlignment="1" applyProtection="1">
      <alignment horizontal="center"/>
      <protection hidden="1"/>
    </xf>
    <xf numFmtId="0" fontId="42" fillId="0" borderId="5" xfId="0" applyFont="1" applyBorder="1" applyAlignment="1" applyProtection="1">
      <alignment horizontal="center"/>
      <protection hidden="1"/>
    </xf>
    <xf numFmtId="0" fontId="42" fillId="0" borderId="28" xfId="0" applyFont="1" applyBorder="1" applyAlignment="1" applyProtection="1">
      <alignment horizontal="center"/>
      <protection hidden="1"/>
    </xf>
    <xf numFmtId="0" fontId="41" fillId="6" borderId="23" xfId="0" applyFont="1" applyFill="1" applyBorder="1" applyAlignment="1" applyProtection="1">
      <alignment horizontal="left" vertical="center"/>
      <protection hidden="1"/>
    </xf>
    <xf numFmtId="0" fontId="41" fillId="6" borderId="9" xfId="0" applyFont="1" applyFill="1" applyBorder="1" applyAlignment="1" applyProtection="1">
      <alignment horizontal="left" vertical="center"/>
      <protection hidden="1"/>
    </xf>
    <xf numFmtId="0" fontId="41" fillId="6" borderId="24" xfId="0" applyFont="1" applyFill="1" applyBorder="1" applyAlignment="1" applyProtection="1">
      <alignment horizontal="left" vertical="center"/>
      <protection hidden="1"/>
    </xf>
    <xf numFmtId="0" fontId="41" fillId="0" borderId="23" xfId="0" applyFont="1" applyBorder="1" applyAlignment="1" applyProtection="1">
      <alignment horizontal="center" vertical="center"/>
      <protection hidden="1"/>
    </xf>
    <xf numFmtId="0" fontId="35" fillId="0" borderId="27" xfId="0" applyFont="1" applyBorder="1" applyAlignment="1" applyProtection="1">
      <alignment horizontal="left"/>
      <protection hidden="1"/>
    </xf>
    <xf numFmtId="0" fontId="35" fillId="0" borderId="5" xfId="0" applyFont="1" applyBorder="1" applyAlignment="1" applyProtection="1">
      <alignment horizontal="left"/>
      <protection hidden="1"/>
    </xf>
    <xf numFmtId="0" fontId="35" fillId="0" borderId="8" xfId="0" applyFont="1" applyBorder="1" applyAlignment="1" applyProtection="1">
      <alignment horizontal="left"/>
      <protection hidden="1"/>
    </xf>
    <xf numFmtId="0" fontId="35" fillId="0" borderId="23" xfId="0" applyFont="1" applyBorder="1" applyAlignment="1" applyProtection="1">
      <alignment horizontal="center" vertical="center"/>
      <protection hidden="1"/>
    </xf>
    <xf numFmtId="0" fontId="68" fillId="0" borderId="0" xfId="0" applyFont="1" applyBorder="1" applyAlignment="1" applyProtection="1">
      <alignment horizontal="left" vertical="center"/>
      <protection hidden="1"/>
    </xf>
    <xf numFmtId="2" fontId="33" fillId="0" borderId="2" xfId="0" applyNumberFormat="1" applyFont="1" applyBorder="1" applyAlignment="1" applyProtection="1">
      <alignment horizontal="center"/>
      <protection hidden="1"/>
    </xf>
    <xf numFmtId="2" fontId="33" fillId="0" borderId="9" xfId="0" applyNumberFormat="1" applyFont="1" applyBorder="1" applyAlignment="1" applyProtection="1">
      <alignment horizontal="center"/>
      <protection hidden="1"/>
    </xf>
    <xf numFmtId="2" fontId="33" fillId="0" borderId="24" xfId="0" applyNumberFormat="1" applyFont="1" applyBorder="1" applyAlignment="1" applyProtection="1">
      <alignment horizontal="center"/>
      <protection hidden="1"/>
    </xf>
    <xf numFmtId="2" fontId="38" fillId="0" borderId="2" xfId="0" applyNumberFormat="1" applyFont="1" applyBorder="1" applyAlignment="1" applyProtection="1">
      <alignment horizontal="center"/>
      <protection hidden="1"/>
    </xf>
    <xf numFmtId="2" fontId="38" fillId="0" borderId="9" xfId="0" applyNumberFormat="1" applyFont="1" applyBorder="1" applyAlignment="1" applyProtection="1">
      <alignment horizontal="center"/>
      <protection hidden="1"/>
    </xf>
    <xf numFmtId="2" fontId="38" fillId="0" borderId="24" xfId="0" applyNumberFormat="1" applyFont="1" applyBorder="1" applyAlignment="1" applyProtection="1">
      <alignment horizontal="center"/>
      <protection hidden="1"/>
    </xf>
    <xf numFmtId="0" fontId="3" fillId="0" borderId="21" xfId="0" applyFont="1" applyBorder="1" applyAlignment="1" applyProtection="1">
      <alignment horizontal="left" vertical="center"/>
      <protection hidden="1"/>
    </xf>
    <xf numFmtId="2" fontId="13" fillId="0" borderId="4" xfId="0" applyNumberFormat="1"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22" xfId="0" applyFont="1" applyBorder="1" applyAlignment="1" applyProtection="1">
      <alignment horizontal="center"/>
      <protection hidden="1"/>
    </xf>
    <xf numFmtId="2" fontId="13" fillId="0" borderId="1" xfId="0" applyNumberFormat="1" applyFont="1" applyBorder="1" applyAlignment="1" applyProtection="1">
      <alignment horizontal="center"/>
      <protection hidden="1"/>
    </xf>
    <xf numFmtId="2" fontId="13" fillId="0" borderId="22" xfId="0" applyNumberFormat="1" applyFont="1" applyBorder="1" applyAlignment="1" applyProtection="1">
      <alignment horizontal="center"/>
      <protection hidden="1"/>
    </xf>
    <xf numFmtId="0" fontId="0" fillId="0" borderId="1" xfId="0" applyBorder="1" applyAlignment="1" applyProtection="1">
      <alignment horizontal="center"/>
      <protection hidden="1"/>
    </xf>
    <xf numFmtId="0" fontId="13" fillId="0" borderId="21" xfId="0" applyFont="1" applyBorder="1" applyAlignment="1" applyProtection="1">
      <alignment horizontal="left"/>
      <protection hidden="1"/>
    </xf>
    <xf numFmtId="2" fontId="33" fillId="0" borderId="22" xfId="0" applyNumberFormat="1" applyFont="1" applyBorder="1" applyAlignment="1" applyProtection="1">
      <alignment horizontal="center"/>
      <protection hidden="1"/>
    </xf>
    <xf numFmtId="0" fontId="27" fillId="0" borderId="1" xfId="0" applyFont="1" applyBorder="1" applyAlignment="1" applyProtection="1">
      <alignment horizontal="left"/>
      <protection hidden="1"/>
    </xf>
    <xf numFmtId="2" fontId="33" fillId="0" borderId="4" xfId="0" applyNumberFormat="1" applyFont="1" applyBorder="1" applyAlignment="1" applyProtection="1">
      <alignment horizontal="center"/>
      <protection hidden="1"/>
    </xf>
    <xf numFmtId="2" fontId="13" fillId="0" borderId="9" xfId="0" applyNumberFormat="1" applyFont="1" applyBorder="1" applyAlignment="1" applyProtection="1">
      <alignment horizontal="center"/>
      <protection hidden="1"/>
    </xf>
    <xf numFmtId="1" fontId="13" fillId="0" borderId="1" xfId="0" applyNumberFormat="1" applyFont="1" applyBorder="1" applyAlignment="1" applyProtection="1">
      <alignment horizontal="center"/>
      <protection hidden="1"/>
    </xf>
    <xf numFmtId="0" fontId="16" fillId="0" borderId="23" xfId="0" applyFont="1" applyBorder="1" applyAlignment="1" applyProtection="1">
      <alignment horizontal="center"/>
      <protection hidden="1"/>
    </xf>
    <xf numFmtId="0" fontId="16" fillId="0" borderId="9" xfId="0" applyFont="1" applyBorder="1" applyAlignment="1" applyProtection="1">
      <alignment horizontal="center"/>
      <protection hidden="1"/>
    </xf>
    <xf numFmtId="0" fontId="16" fillId="0" borderId="4" xfId="0" applyFont="1" applyBorder="1" applyAlignment="1" applyProtection="1">
      <alignment horizontal="center"/>
      <protection hidden="1"/>
    </xf>
    <xf numFmtId="0" fontId="13" fillId="0" borderId="23"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33" fillId="0" borderId="9" xfId="0" applyFont="1" applyBorder="1" applyAlignment="1" applyProtection="1">
      <alignment horizontal="center"/>
      <protection hidden="1"/>
    </xf>
    <xf numFmtId="0" fontId="33" fillId="0" borderId="24" xfId="0" applyFont="1" applyBorder="1" applyAlignment="1" applyProtection="1">
      <alignment horizontal="center"/>
      <protection hidden="1"/>
    </xf>
    <xf numFmtId="2" fontId="13" fillId="0" borderId="1" xfId="0" applyNumberFormat="1" applyFont="1" applyBorder="1" applyAlignment="1" applyProtection="1">
      <alignment horizontal="center" vertical="top"/>
      <protection hidden="1"/>
    </xf>
    <xf numFmtId="0" fontId="13" fillId="0" borderId="1" xfId="0" applyFont="1" applyBorder="1" applyAlignment="1" applyProtection="1">
      <alignment horizontal="center" vertical="top"/>
      <protection hidden="1"/>
    </xf>
    <xf numFmtId="0" fontId="12" fillId="0" borderId="2" xfId="0" applyFont="1" applyBorder="1" applyAlignment="1" applyProtection="1">
      <alignment horizontal="left"/>
      <protection hidden="1"/>
    </xf>
    <xf numFmtId="0" fontId="12" fillId="0" borderId="9" xfId="0" applyFont="1" applyBorder="1" applyAlignment="1" applyProtection="1">
      <alignment horizontal="left"/>
      <protection hidden="1"/>
    </xf>
    <xf numFmtId="0" fontId="13" fillId="0" borderId="1" xfId="0" applyFont="1" applyBorder="1" applyAlignment="1" applyProtection="1">
      <alignment horizontal="left" vertical="top"/>
      <protection hidden="1"/>
    </xf>
    <xf numFmtId="0" fontId="12" fillId="0" borderId="23" xfId="0" applyFont="1" applyBorder="1" applyAlignment="1" applyProtection="1">
      <alignment horizontal="left"/>
      <protection hidden="1"/>
    </xf>
    <xf numFmtId="0" fontId="12" fillId="0" borderId="4" xfId="0" applyFont="1" applyBorder="1" applyAlignment="1" applyProtection="1">
      <alignment horizontal="left"/>
      <protection hidden="1"/>
    </xf>
    <xf numFmtId="0" fontId="15" fillId="0" borderId="21" xfId="0" applyFont="1" applyBorder="1" applyAlignment="1" applyProtection="1">
      <alignment horizontal="left"/>
      <protection hidden="1"/>
    </xf>
    <xf numFmtId="0" fontId="15" fillId="0" borderId="1" xfId="0" applyFont="1" applyBorder="1" applyAlignment="1" applyProtection="1">
      <alignment horizontal="left"/>
      <protection hidden="1"/>
    </xf>
    <xf numFmtId="0" fontId="20" fillId="0" borderId="1" xfId="0" applyFont="1" applyBorder="1" applyAlignment="1" applyProtection="1">
      <alignment horizontal="center"/>
      <protection hidden="1"/>
    </xf>
    <xf numFmtId="2" fontId="33" fillId="0" borderId="2" xfId="0" applyNumberFormat="1" applyFont="1" applyBorder="1" applyAlignment="1" applyProtection="1">
      <alignment horizontal="center" vertical="top" wrapText="1"/>
      <protection hidden="1"/>
    </xf>
    <xf numFmtId="2" fontId="33" fillId="0" borderId="9" xfId="0" applyNumberFormat="1" applyFont="1" applyBorder="1" applyAlignment="1" applyProtection="1">
      <alignment horizontal="center" vertical="top" wrapText="1"/>
      <protection hidden="1"/>
    </xf>
    <xf numFmtId="2" fontId="33" fillId="0" borderId="24" xfId="0" applyNumberFormat="1" applyFont="1" applyBorder="1" applyAlignment="1" applyProtection="1">
      <alignment horizontal="center" vertical="top" wrapText="1"/>
      <protection hidden="1"/>
    </xf>
    <xf numFmtId="2" fontId="13" fillId="0" borderId="2" xfId="0" applyNumberFormat="1" applyFont="1" applyBorder="1" applyAlignment="1" applyProtection="1">
      <alignment horizontal="center"/>
      <protection hidden="1"/>
    </xf>
    <xf numFmtId="0" fontId="13" fillId="0" borderId="9" xfId="0" applyFont="1" applyBorder="1" applyAlignment="1" applyProtection="1">
      <alignment horizontal="left"/>
      <protection hidden="1"/>
    </xf>
    <xf numFmtId="0" fontId="13" fillId="0" borderId="4" xfId="0" applyFont="1" applyBorder="1" applyAlignment="1" applyProtection="1">
      <alignment horizontal="left"/>
      <protection hidden="1"/>
    </xf>
    <xf numFmtId="0" fontId="33" fillId="0" borderId="2" xfId="0" applyFont="1" applyBorder="1" applyAlignment="1" applyProtection="1">
      <alignment horizontal="center"/>
      <protection hidden="1"/>
    </xf>
    <xf numFmtId="0" fontId="13" fillId="0" borderId="21" xfId="0" applyFont="1" applyFill="1" applyBorder="1" applyAlignment="1" applyProtection="1">
      <alignment horizontal="left" vertical="center"/>
      <protection hidden="1"/>
    </xf>
    <xf numFmtId="0" fontId="13" fillId="0" borderId="1" xfId="0" applyFont="1" applyFill="1" applyBorder="1" applyAlignment="1" applyProtection="1">
      <alignment horizontal="left" vertical="center"/>
      <protection hidden="1"/>
    </xf>
    <xf numFmtId="0" fontId="13" fillId="0" borderId="2" xfId="0" applyFont="1" applyBorder="1" applyAlignment="1" applyProtection="1">
      <alignment horizontal="left"/>
      <protection hidden="1"/>
    </xf>
    <xf numFmtId="0" fontId="12" fillId="6" borderId="27" xfId="0" applyFont="1" applyFill="1" applyBorder="1" applyAlignment="1" applyProtection="1">
      <alignment horizontal="left"/>
      <protection hidden="1"/>
    </xf>
    <xf numFmtId="0" fontId="12" fillId="6" borderId="5" xfId="0" applyFont="1" applyFill="1" applyBorder="1" applyAlignment="1" applyProtection="1">
      <alignment horizontal="left"/>
      <protection hidden="1"/>
    </xf>
    <xf numFmtId="0" fontId="12" fillId="6" borderId="9" xfId="0" applyFont="1" applyFill="1" applyBorder="1" applyAlignment="1" applyProtection="1">
      <alignment horizontal="left"/>
      <protection hidden="1"/>
    </xf>
    <xf numFmtId="0" fontId="12" fillId="6" borderId="24" xfId="0" applyFont="1" applyFill="1" applyBorder="1" applyAlignment="1" applyProtection="1">
      <alignment horizontal="left"/>
      <protection hidden="1"/>
    </xf>
    <xf numFmtId="2" fontId="13" fillId="0" borderId="23" xfId="0" applyNumberFormat="1" applyFont="1" applyBorder="1" applyAlignment="1" applyProtection="1">
      <alignment horizontal="center"/>
      <protection hidden="1"/>
    </xf>
    <xf numFmtId="0" fontId="14" fillId="0" borderId="21" xfId="0" applyFont="1" applyBorder="1" applyAlignment="1" applyProtection="1">
      <alignment horizontal="left"/>
      <protection hidden="1"/>
    </xf>
    <xf numFmtId="0" fontId="14" fillId="0" borderId="1" xfId="0" applyFont="1" applyBorder="1" applyAlignment="1" applyProtection="1">
      <alignment horizontal="left"/>
      <protection hidden="1"/>
    </xf>
    <xf numFmtId="0" fontId="15" fillId="0" borderId="2" xfId="0" applyFont="1" applyBorder="1" applyAlignment="1" applyProtection="1">
      <alignment horizontal="left" vertical="center"/>
      <protection hidden="1"/>
    </xf>
    <xf numFmtId="0" fontId="15" fillId="0" borderId="9" xfId="0" applyFont="1" applyBorder="1" applyAlignment="1" applyProtection="1">
      <alignment horizontal="left" vertical="center"/>
      <protection hidden="1"/>
    </xf>
    <xf numFmtId="0" fontId="15" fillId="0" borderId="4" xfId="0" applyFont="1" applyBorder="1" applyAlignment="1" applyProtection="1">
      <alignment horizontal="left" vertical="center"/>
      <protection hidden="1"/>
    </xf>
    <xf numFmtId="0" fontId="13" fillId="0" borderId="2" xfId="0" applyFont="1" applyBorder="1" applyAlignment="1" applyProtection="1">
      <alignment horizontal="left" vertical="center"/>
      <protection hidden="1"/>
    </xf>
    <xf numFmtId="0" fontId="66" fillId="0" borderId="1" xfId="0" applyFont="1" applyBorder="1" applyAlignment="1" applyProtection="1">
      <alignment horizontal="center"/>
      <protection hidden="1"/>
    </xf>
    <xf numFmtId="0" fontId="14" fillId="0" borderId="21" xfId="0" applyFont="1" applyBorder="1" applyAlignment="1" applyProtection="1">
      <alignment horizontal="center"/>
      <protection hidden="1"/>
    </xf>
    <xf numFmtId="1" fontId="15" fillId="0" borderId="1" xfId="0" applyNumberFormat="1" applyFont="1" applyBorder="1" applyAlignment="1" applyProtection="1">
      <alignment horizontal="center"/>
      <protection hidden="1"/>
    </xf>
    <xf numFmtId="0" fontId="14" fillId="0" borderId="1" xfId="0" applyFont="1" applyBorder="1" applyAlignment="1" applyProtection="1">
      <alignment horizontal="center"/>
      <protection hidden="1"/>
    </xf>
    <xf numFmtId="0" fontId="12" fillId="0" borderId="3" xfId="0" applyFont="1" applyBorder="1" applyAlignment="1" applyProtection="1">
      <alignment horizontal="center" wrapText="1"/>
      <protection hidden="1"/>
    </xf>
    <xf numFmtId="0" fontId="12" fillId="0" borderId="10" xfId="0" applyFont="1" applyBorder="1" applyAlignment="1" applyProtection="1">
      <alignment horizontal="center" wrapText="1"/>
      <protection hidden="1"/>
    </xf>
    <xf numFmtId="0" fontId="14" fillId="0" borderId="23" xfId="0" applyFont="1" applyBorder="1" applyAlignment="1" applyProtection="1">
      <alignment horizontal="center"/>
      <protection hidden="1"/>
    </xf>
    <xf numFmtId="0" fontId="14" fillId="0" borderId="9" xfId="0" applyFont="1" applyBorder="1" applyAlignment="1" applyProtection="1">
      <alignment horizontal="center"/>
      <protection hidden="1"/>
    </xf>
    <xf numFmtId="0" fontId="14" fillId="0" borderId="5" xfId="0" applyFont="1" applyBorder="1" applyAlignment="1" applyProtection="1">
      <alignment horizontal="center"/>
      <protection hidden="1"/>
    </xf>
    <xf numFmtId="0" fontId="14" fillId="0" borderId="24" xfId="0" applyFont="1" applyBorder="1" applyAlignment="1" applyProtection="1">
      <alignment horizontal="center"/>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26" xfId="0" applyFont="1" applyFill="1" applyBorder="1" applyAlignment="1" applyProtection="1">
      <alignment horizontal="center" wrapText="1"/>
      <protection hidden="1"/>
    </xf>
    <xf numFmtId="0" fontId="12" fillId="0" borderId="30" xfId="0" applyFont="1" applyFill="1" applyBorder="1" applyAlignment="1" applyProtection="1">
      <alignment horizontal="center" wrapText="1"/>
      <protection hidden="1"/>
    </xf>
    <xf numFmtId="0" fontId="14" fillId="0" borderId="4" xfId="0" applyFont="1" applyBorder="1" applyAlignment="1" applyProtection="1">
      <alignment horizontal="center"/>
      <protection hidden="1"/>
    </xf>
    <xf numFmtId="0" fontId="12" fillId="0" borderId="23"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0" fillId="0" borderId="3"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2" fontId="33" fillId="0" borderId="24" xfId="0" applyNumberFormat="1" applyFont="1" applyBorder="1" applyAlignment="1" applyProtection="1">
      <alignment horizontal="center"/>
      <protection locked="0"/>
    </xf>
    <xf numFmtId="2" fontId="33" fillId="0" borderId="1" xfId="0" applyNumberFormat="1" applyFont="1" applyBorder="1" applyAlignment="1" applyProtection="1">
      <alignment horizontal="center"/>
      <protection locked="0"/>
    </xf>
    <xf numFmtId="0" fontId="31" fillId="10" borderId="26" xfId="4" applyBorder="1" applyAlignment="1" applyProtection="1">
      <alignment horizontal="center" vertical="center" wrapText="1"/>
      <protection hidden="1"/>
    </xf>
    <xf numFmtId="0" fontId="31" fillId="10" borderId="31" xfId="4" applyBorder="1" applyAlignment="1" applyProtection="1">
      <alignment horizontal="center" vertical="center" wrapText="1"/>
      <protection hidden="1"/>
    </xf>
    <xf numFmtId="0" fontId="31" fillId="10" borderId="36" xfId="4" applyBorder="1" applyAlignment="1" applyProtection="1">
      <alignment horizontal="center" vertical="center" wrapText="1"/>
      <protection hidden="1"/>
    </xf>
    <xf numFmtId="14" fontId="35" fillId="0" borderId="1" xfId="0" applyNumberFormat="1" applyFont="1" applyBorder="1" applyAlignment="1" applyProtection="1">
      <alignment horizontal="center"/>
      <protection hidden="1"/>
    </xf>
    <xf numFmtId="0" fontId="41" fillId="0" borderId="23" xfId="0" applyFont="1" applyBorder="1" applyAlignment="1" applyProtection="1">
      <alignment horizontal="center"/>
      <protection hidden="1"/>
    </xf>
    <xf numFmtId="0" fontId="41" fillId="0" borderId="4" xfId="0" applyFont="1" applyBorder="1" applyAlignment="1" applyProtection="1">
      <alignment horizontal="center"/>
      <protection hidden="1"/>
    </xf>
    <xf numFmtId="2" fontId="35" fillId="0" borderId="1" xfId="0" applyNumberFormat="1" applyFont="1" applyBorder="1" applyAlignment="1" applyProtection="1">
      <alignment horizontal="center" vertical="center"/>
      <protection hidden="1"/>
    </xf>
    <xf numFmtId="0" fontId="58" fillId="0" borderId="21" xfId="0" applyFont="1" applyBorder="1" applyAlignment="1" applyProtection="1">
      <alignment horizontal="center" vertical="center"/>
      <protection hidden="1"/>
    </xf>
    <xf numFmtId="0" fontId="58" fillId="0" borderId="1" xfId="0" applyFont="1" applyBorder="1" applyAlignment="1" applyProtection="1">
      <alignment horizontal="center" vertical="center"/>
      <protection hidden="1"/>
    </xf>
    <xf numFmtId="0" fontId="35" fillId="0" borderId="21" xfId="0" applyFont="1" applyBorder="1" applyAlignment="1" applyProtection="1">
      <alignment horizontal="center" vertical="center"/>
      <protection hidden="1"/>
    </xf>
    <xf numFmtId="0" fontId="35" fillId="0" borderId="1" xfId="0" applyFont="1" applyBorder="1" applyAlignment="1" applyProtection="1">
      <alignment horizontal="center" vertical="center"/>
      <protection hidden="1"/>
    </xf>
    <xf numFmtId="0" fontId="42" fillId="0" borderId="21" xfId="0" applyFont="1" applyBorder="1" applyAlignment="1" applyProtection="1">
      <alignment horizontal="center" vertical="center"/>
      <protection hidden="1"/>
    </xf>
    <xf numFmtId="0" fontId="42" fillId="0" borderId="1"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27" fillId="0" borderId="1" xfId="0" applyFont="1" applyBorder="1" applyAlignment="1" applyProtection="1">
      <alignment horizontal="center" vertical="center"/>
      <protection hidden="1"/>
    </xf>
    <xf numFmtId="0" fontId="58" fillId="0" borderId="25" xfId="0" applyFont="1" applyBorder="1" applyAlignment="1" applyProtection="1">
      <alignment horizontal="center" vertical="center"/>
      <protection hidden="1"/>
    </xf>
    <xf numFmtId="0" fontId="58" fillId="0" borderId="12" xfId="0" applyFont="1" applyBorder="1" applyAlignment="1" applyProtection="1">
      <alignment horizontal="center" vertical="center"/>
      <protection hidden="1"/>
    </xf>
    <xf numFmtId="0" fontId="58" fillId="0" borderId="27"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27" fillId="0" borderId="1" xfId="0" applyFont="1" applyBorder="1" applyAlignment="1" applyProtection="1">
      <alignment horizontal="center" vertical="center" wrapText="1"/>
      <protection hidden="1"/>
    </xf>
    <xf numFmtId="0" fontId="0" fillId="0" borderId="2"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0" fillId="0" borderId="4" xfId="0" applyFont="1" applyBorder="1" applyAlignment="1" applyProtection="1">
      <alignment horizontal="center"/>
      <protection hidden="1"/>
    </xf>
    <xf numFmtId="0" fontId="42" fillId="0" borderId="44" xfId="0" applyFont="1" applyBorder="1" applyAlignment="1" applyProtection="1">
      <alignment horizontal="center" vertical="center" wrapText="1"/>
      <protection hidden="1"/>
    </xf>
    <xf numFmtId="0" fontId="42" fillId="0" borderId="28" xfId="0" applyFont="1" applyBorder="1" applyAlignment="1" applyProtection="1">
      <alignment horizontal="center" vertical="center" wrapText="1"/>
      <protection hidden="1"/>
    </xf>
    <xf numFmtId="0" fontId="35" fillId="0" borderId="2" xfId="0" applyFont="1" applyBorder="1" applyAlignment="1" applyProtection="1">
      <alignment horizontal="left"/>
      <protection hidden="1"/>
    </xf>
    <xf numFmtId="0" fontId="35" fillId="0" borderId="9" xfId="0" applyFont="1" applyBorder="1" applyAlignment="1" applyProtection="1">
      <alignment horizontal="left"/>
      <protection hidden="1"/>
    </xf>
    <xf numFmtId="0" fontId="35" fillId="0" borderId="4" xfId="0" applyFont="1" applyBorder="1" applyAlignment="1" applyProtection="1">
      <alignment horizontal="left"/>
      <protection hidden="1"/>
    </xf>
    <xf numFmtId="0" fontId="42" fillId="0" borderId="2" xfId="0" applyFont="1" applyBorder="1" applyAlignment="1" applyProtection="1">
      <alignment horizontal="center"/>
      <protection hidden="1"/>
    </xf>
    <xf numFmtId="0" fontId="19" fillId="0" borderId="9" xfId="0" applyFont="1" applyBorder="1" applyProtection="1">
      <protection hidden="1"/>
    </xf>
    <xf numFmtId="0" fontId="42" fillId="0" borderId="4" xfId="0" applyFont="1" applyBorder="1" applyAlignment="1" applyProtection="1">
      <alignment horizontal="center"/>
      <protection hidden="1"/>
    </xf>
    <xf numFmtId="0" fontId="40" fillId="0" borderId="18" xfId="0" applyFont="1" applyBorder="1" applyAlignment="1" applyProtection="1">
      <alignment horizontal="center"/>
      <protection hidden="1"/>
    </xf>
    <xf numFmtId="0" fontId="40" fillId="0" borderId="19" xfId="0" applyFont="1" applyBorder="1" applyAlignment="1" applyProtection="1">
      <alignment horizontal="center"/>
      <protection hidden="1"/>
    </xf>
    <xf numFmtId="0" fontId="40" fillId="0" borderId="20" xfId="0" applyFont="1" applyBorder="1" applyAlignment="1" applyProtection="1">
      <alignment horizontal="center"/>
      <protection hidden="1"/>
    </xf>
    <xf numFmtId="0" fontId="0" fillId="0" borderId="27" xfId="0" applyFont="1" applyBorder="1" applyAlignment="1" applyProtection="1">
      <alignment horizontal="center" vertical="top"/>
      <protection hidden="1"/>
    </xf>
    <xf numFmtId="0" fontId="0" fillId="0" borderId="5" xfId="0" applyFont="1" applyBorder="1" applyAlignment="1" applyProtection="1">
      <alignment horizontal="center" vertical="top"/>
      <protection hidden="1"/>
    </xf>
    <xf numFmtId="0" fontId="0" fillId="0" borderId="28" xfId="0" applyFont="1" applyBorder="1" applyAlignment="1" applyProtection="1">
      <alignment horizontal="center" vertical="top"/>
      <protection hidden="1"/>
    </xf>
    <xf numFmtId="0" fontId="19" fillId="0" borderId="2" xfId="0" applyFont="1" applyBorder="1" applyAlignment="1" applyProtection="1">
      <alignment horizontal="center"/>
      <protection hidden="1"/>
    </xf>
    <xf numFmtId="0" fontId="19" fillId="0" borderId="24" xfId="0" applyFont="1" applyBorder="1" applyAlignment="1" applyProtection="1">
      <alignment horizontal="center"/>
      <protection hidden="1"/>
    </xf>
    <xf numFmtId="0" fontId="15" fillId="8" borderId="33" xfId="0" applyFont="1" applyFill="1" applyBorder="1" applyAlignment="1" applyProtection="1">
      <alignment horizontal="left"/>
      <protection hidden="1"/>
    </xf>
    <xf numFmtId="0" fontId="15" fillId="8" borderId="34" xfId="0" applyFont="1" applyFill="1" applyBorder="1" applyAlignment="1" applyProtection="1">
      <alignment horizontal="left"/>
      <protection hidden="1"/>
    </xf>
    <xf numFmtId="0" fontId="15" fillId="8" borderId="35" xfId="0" applyFont="1" applyFill="1" applyBorder="1" applyAlignment="1" applyProtection="1">
      <alignment horizontal="left"/>
      <protection hidden="1"/>
    </xf>
    <xf numFmtId="0" fontId="19" fillId="0" borderId="32"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29" fillId="0" borderId="21" xfId="0" applyFont="1" applyBorder="1" applyAlignment="1" applyProtection="1">
      <alignment horizontal="center"/>
      <protection hidden="1"/>
    </xf>
    <xf numFmtId="0" fontId="29" fillId="0" borderId="1" xfId="0" applyFont="1" applyBorder="1" applyAlignment="1" applyProtection="1">
      <alignment horizontal="center"/>
      <protection hidden="1"/>
    </xf>
    <xf numFmtId="0" fontId="21" fillId="0" borderId="1" xfId="0" applyFont="1" applyBorder="1" applyAlignment="1" applyProtection="1">
      <alignment horizontal="left"/>
      <protection hidden="1"/>
    </xf>
    <xf numFmtId="0" fontId="12" fillId="0" borderId="21" xfId="0" applyFont="1" applyBorder="1" applyAlignment="1" applyProtection="1">
      <alignment horizontal="left"/>
      <protection hidden="1"/>
    </xf>
    <xf numFmtId="0" fontId="12" fillId="0" borderId="1" xfId="0" applyFont="1" applyBorder="1" applyAlignment="1" applyProtection="1">
      <alignment horizontal="left"/>
      <protection hidden="1"/>
    </xf>
    <xf numFmtId="2" fontId="13" fillId="0" borderId="3" xfId="0" applyNumberFormat="1" applyFont="1" applyBorder="1" applyAlignment="1" applyProtection="1">
      <alignment horizontal="center"/>
      <protection hidden="1"/>
    </xf>
    <xf numFmtId="0" fontId="21" fillId="0" borderId="21" xfId="0" applyFont="1" applyBorder="1" applyAlignment="1" applyProtection="1">
      <alignment horizontal="center"/>
      <protection hidden="1"/>
    </xf>
    <xf numFmtId="0" fontId="21" fillId="0" borderId="1" xfId="0" applyFont="1" applyBorder="1" applyAlignment="1" applyProtection="1">
      <alignment horizontal="center"/>
      <protection hidden="1"/>
    </xf>
    <xf numFmtId="0" fontId="13" fillId="0" borderId="21" xfId="0" applyFont="1" applyBorder="1" applyAlignment="1" applyProtection="1">
      <alignment horizontal="center"/>
      <protection hidden="1"/>
    </xf>
    <xf numFmtId="0" fontId="12" fillId="0" borderId="21" xfId="0" applyFont="1" applyBorder="1" applyAlignment="1" applyProtection="1">
      <alignment horizontal="center"/>
      <protection hidden="1"/>
    </xf>
    <xf numFmtId="0" fontId="12" fillId="0" borderId="1" xfId="0" applyFont="1" applyBorder="1" applyAlignment="1" applyProtection="1">
      <alignment horizontal="center"/>
      <protection hidden="1"/>
    </xf>
    <xf numFmtId="0" fontId="16" fillId="0" borderId="29" xfId="0" applyFont="1" applyBorder="1" applyAlignment="1" applyProtection="1">
      <alignment horizontal="center" wrapText="1"/>
      <protection hidden="1"/>
    </xf>
    <xf numFmtId="0" fontId="16" fillId="0" borderId="10" xfId="0" applyFont="1" applyBorder="1" applyAlignment="1" applyProtection="1">
      <alignment horizontal="center" wrapText="1"/>
      <protection hidden="1"/>
    </xf>
    <xf numFmtId="0" fontId="16" fillId="0" borderId="10" xfId="0" applyFont="1" applyBorder="1" applyAlignment="1" applyProtection="1">
      <alignment horizontal="center"/>
      <protection hidden="1"/>
    </xf>
    <xf numFmtId="0" fontId="21" fillId="0" borderId="21" xfId="0" applyFont="1" applyBorder="1" applyAlignment="1" applyProtection="1">
      <alignment horizontal="left"/>
      <protection hidden="1"/>
    </xf>
    <xf numFmtId="2" fontId="13" fillId="0" borderId="32" xfId="0" applyNumberFormat="1" applyFont="1" applyBorder="1" applyAlignment="1" applyProtection="1">
      <alignment horizontal="center" wrapText="1"/>
      <protection hidden="1"/>
    </xf>
    <xf numFmtId="2" fontId="13" fillId="0" borderId="3" xfId="0" applyNumberFormat="1" applyFont="1" applyBorder="1" applyAlignment="1" applyProtection="1">
      <alignment horizontal="center" wrapText="1"/>
      <protection hidden="1"/>
    </xf>
    <xf numFmtId="0" fontId="0" fillId="0" borderId="21" xfId="0" applyBorder="1" applyAlignment="1" applyProtection="1">
      <alignment horizontal="left" vertical="center"/>
      <protection hidden="1"/>
    </xf>
    <xf numFmtId="0" fontId="0" fillId="0" borderId="1" xfId="0" applyFont="1" applyBorder="1" applyAlignment="1" applyProtection="1">
      <alignment horizontal="left" vertical="center"/>
      <protection hidden="1"/>
    </xf>
    <xf numFmtId="0" fontId="13" fillId="0" borderId="23" xfId="0" applyFont="1" applyBorder="1" applyAlignment="1" applyProtection="1">
      <alignment horizontal="left"/>
      <protection hidden="1"/>
    </xf>
    <xf numFmtId="0" fontId="11" fillId="0" borderId="23"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2" fontId="20" fillId="0" borderId="2" xfId="0" applyNumberFormat="1" applyFont="1" applyBorder="1" applyAlignment="1" applyProtection="1">
      <alignment horizontal="center" vertical="center"/>
      <protection hidden="1"/>
    </xf>
    <xf numFmtId="0" fontId="20" fillId="0" borderId="4" xfId="0" applyFont="1" applyBorder="1" applyAlignment="1" applyProtection="1">
      <alignment horizontal="center" vertical="center"/>
      <protection hidden="1"/>
    </xf>
    <xf numFmtId="0" fontId="46" fillId="0" borderId="23" xfId="0" applyFont="1" applyBorder="1" applyAlignment="1" applyProtection="1">
      <alignment horizontal="left" vertical="center"/>
      <protection hidden="1"/>
    </xf>
    <xf numFmtId="0" fontId="46" fillId="0" borderId="9" xfId="0" applyFont="1" applyBorder="1" applyAlignment="1" applyProtection="1">
      <alignment horizontal="left" vertical="center"/>
      <protection hidden="1"/>
    </xf>
    <xf numFmtId="0" fontId="46" fillId="0" borderId="4" xfId="0" applyFont="1" applyBorder="1" applyAlignment="1" applyProtection="1">
      <alignment horizontal="left" vertical="center"/>
      <protection hidden="1"/>
    </xf>
    <xf numFmtId="0" fontId="45" fillId="0" borderId="0" xfId="0" applyFont="1" applyBorder="1" applyAlignment="1" applyProtection="1">
      <alignment horizontal="left" shrinkToFit="1"/>
      <protection hidden="1"/>
    </xf>
    <xf numFmtId="0" fontId="41" fillId="0" borderId="40" xfId="0" applyFont="1" applyBorder="1" applyAlignment="1" applyProtection="1">
      <alignment horizontal="left" vertical="center"/>
      <protection hidden="1"/>
    </xf>
    <xf numFmtId="0" fontId="41" fillId="0" borderId="0" xfId="0" applyFont="1" applyBorder="1" applyAlignment="1" applyProtection="1">
      <alignment horizontal="left" vertical="center"/>
      <protection hidden="1"/>
    </xf>
    <xf numFmtId="0" fontId="41" fillId="0" borderId="15" xfId="0" applyFont="1" applyBorder="1" applyAlignment="1" applyProtection="1">
      <alignment horizontal="left" vertical="center"/>
      <protection hidden="1"/>
    </xf>
    <xf numFmtId="2" fontId="35" fillId="0" borderId="11" xfId="0" applyNumberFormat="1" applyFont="1" applyBorder="1" applyAlignment="1" applyProtection="1">
      <alignment horizontal="center" vertical="center"/>
      <protection hidden="1"/>
    </xf>
    <xf numFmtId="2" fontId="35" fillId="0" borderId="6" xfId="0" applyNumberFormat="1" applyFont="1" applyBorder="1" applyAlignment="1" applyProtection="1">
      <alignment horizontal="center" vertical="center"/>
      <protection hidden="1"/>
    </xf>
    <xf numFmtId="2" fontId="35" fillId="0" borderId="12" xfId="0" applyNumberFormat="1" applyFont="1" applyBorder="1" applyAlignment="1" applyProtection="1">
      <alignment horizontal="center" vertical="center"/>
      <protection hidden="1"/>
    </xf>
    <xf numFmtId="2" fontId="35" fillId="0" borderId="7" xfId="0" applyNumberFormat="1" applyFont="1" applyBorder="1" applyAlignment="1" applyProtection="1">
      <alignment horizontal="center" vertical="center"/>
      <protection hidden="1"/>
    </xf>
    <xf numFmtId="2" fontId="35" fillId="0" borderId="5" xfId="0" applyNumberFormat="1" applyFont="1" applyBorder="1" applyAlignment="1" applyProtection="1">
      <alignment horizontal="center" vertical="center"/>
      <protection hidden="1"/>
    </xf>
    <xf numFmtId="2" fontId="35" fillId="0" borderId="8" xfId="0" applyNumberFormat="1" applyFont="1" applyBorder="1" applyAlignment="1" applyProtection="1">
      <alignment horizontal="center" vertical="center"/>
      <protection hidden="1"/>
    </xf>
    <xf numFmtId="0" fontId="42" fillId="0" borderId="23" xfId="0" applyFont="1" applyBorder="1" applyAlignment="1" applyProtection="1">
      <alignment horizontal="left" vertical="center"/>
      <protection hidden="1"/>
    </xf>
    <xf numFmtId="0" fontId="42" fillId="0" borderId="9" xfId="0" applyFont="1" applyBorder="1" applyAlignment="1" applyProtection="1">
      <alignment horizontal="left" vertical="center"/>
      <protection hidden="1"/>
    </xf>
    <xf numFmtId="0" fontId="42" fillId="0" borderId="4" xfId="0" applyFont="1" applyBorder="1" applyAlignment="1" applyProtection="1">
      <alignment horizontal="left" vertical="center"/>
      <protection hidden="1"/>
    </xf>
    <xf numFmtId="2" fontId="35" fillId="0" borderId="35" xfId="0" applyNumberFormat="1" applyFont="1" applyBorder="1" applyAlignment="1" applyProtection="1">
      <alignment horizontal="center" vertical="center"/>
      <protection hidden="1"/>
    </xf>
    <xf numFmtId="2" fontId="35" fillId="0" borderId="46" xfId="0" applyNumberFormat="1" applyFont="1" applyBorder="1" applyAlignment="1" applyProtection="1">
      <alignment horizontal="center" vertical="center"/>
      <protection hidden="1"/>
    </xf>
    <xf numFmtId="0" fontId="35" fillId="0" borderId="47" xfId="0" applyFont="1" applyBorder="1" applyAlignment="1" applyProtection="1">
      <alignment horizontal="center" vertical="center"/>
      <protection hidden="1"/>
    </xf>
    <xf numFmtId="0" fontId="42" fillId="0" borderId="41" xfId="0" applyFont="1" applyBorder="1" applyAlignment="1" applyProtection="1">
      <alignment horizontal="left"/>
      <protection hidden="1"/>
    </xf>
    <xf numFmtId="0" fontId="42" fillId="0" borderId="42" xfId="0" applyFont="1" applyBorder="1" applyAlignment="1" applyProtection="1">
      <alignment horizontal="left"/>
      <protection hidden="1"/>
    </xf>
    <xf numFmtId="49" fontId="35" fillId="0" borderId="42" xfId="0" applyNumberFormat="1" applyFont="1" applyBorder="1" applyAlignment="1" applyProtection="1">
      <alignment horizontal="left"/>
      <protection hidden="1"/>
    </xf>
    <xf numFmtId="49" fontId="35" fillId="0" borderId="68" xfId="0" applyNumberFormat="1" applyFont="1" applyBorder="1" applyAlignment="1" applyProtection="1">
      <alignment horizontal="left"/>
      <protection hidden="1"/>
    </xf>
    <xf numFmtId="2" fontId="35" fillId="0" borderId="34" xfId="0" applyNumberFormat="1" applyFont="1" applyBorder="1" applyAlignment="1" applyProtection="1">
      <alignment horizontal="center"/>
      <protection hidden="1"/>
    </xf>
    <xf numFmtId="2" fontId="35" fillId="0" borderId="4" xfId="0" applyNumberFormat="1" applyFont="1" applyBorder="1" applyAlignment="1" applyProtection="1">
      <alignment horizontal="center" vertical="center"/>
      <protection hidden="1"/>
    </xf>
    <xf numFmtId="0" fontId="35" fillId="6" borderId="2" xfId="0" applyFont="1" applyFill="1" applyBorder="1" applyAlignment="1" applyProtection="1">
      <alignment horizontal="center"/>
      <protection hidden="1"/>
    </xf>
    <xf numFmtId="0" fontId="35" fillId="6" borderId="9" xfId="0" applyFont="1" applyFill="1" applyBorder="1" applyAlignment="1" applyProtection="1">
      <alignment horizontal="center"/>
      <protection hidden="1"/>
    </xf>
    <xf numFmtId="0" fontId="35" fillId="6" borderId="4" xfId="0" applyFont="1" applyFill="1" applyBorder="1" applyAlignment="1" applyProtection="1">
      <alignment horizontal="center"/>
      <protection hidden="1"/>
    </xf>
    <xf numFmtId="0" fontId="35" fillId="0" borderId="36" xfId="0" applyFont="1" applyBorder="1" applyAlignment="1" applyProtection="1">
      <alignment horizontal="center"/>
      <protection hidden="1"/>
    </xf>
    <xf numFmtId="0" fontId="35" fillId="0" borderId="3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35" fillId="0" borderId="35" xfId="0" applyFont="1" applyBorder="1" applyAlignment="1" applyProtection="1">
      <alignment horizontal="center"/>
      <protection hidden="1"/>
    </xf>
    <xf numFmtId="0" fontId="35" fillId="0" borderId="47" xfId="0" applyFont="1" applyBorder="1" applyAlignment="1" applyProtection="1">
      <alignment horizontal="center"/>
      <protection hidden="1"/>
    </xf>
    <xf numFmtId="0" fontId="35" fillId="0" borderId="35" xfId="0" applyFont="1" applyBorder="1" applyAlignment="1" applyProtection="1">
      <alignment horizontal="center" vertical="center"/>
      <protection hidden="1"/>
    </xf>
    <xf numFmtId="0" fontId="35" fillId="0" borderId="46" xfId="0" applyFont="1" applyBorder="1" applyAlignment="1" applyProtection="1">
      <alignment horizontal="center" vertical="center"/>
      <protection hidden="1"/>
    </xf>
    <xf numFmtId="0" fontId="35" fillId="0" borderId="58" xfId="0" applyFont="1" applyBorder="1" applyAlignment="1" applyProtection="1">
      <alignment horizontal="center" vertical="center"/>
      <protection hidden="1"/>
    </xf>
    <xf numFmtId="0" fontId="48" fillId="0" borderId="0" xfId="0" applyFont="1" applyBorder="1" applyAlignment="1" applyProtection="1">
      <alignment horizontal="left" vertical="center" shrinkToFit="1"/>
      <protection hidden="1"/>
    </xf>
    <xf numFmtId="0" fontId="35" fillId="6" borderId="11" xfId="0" applyFont="1" applyFill="1" applyBorder="1" applyAlignment="1" applyProtection="1">
      <alignment horizontal="center"/>
      <protection hidden="1"/>
    </xf>
    <xf numFmtId="0" fontId="35" fillId="6" borderId="12" xfId="0" applyFont="1" applyFill="1" applyBorder="1" applyAlignment="1" applyProtection="1">
      <alignment horizontal="center"/>
      <protection hidden="1"/>
    </xf>
    <xf numFmtId="0" fontId="41" fillId="0" borderId="25" xfId="0" applyFont="1" applyBorder="1" applyAlignment="1" applyProtection="1">
      <alignment horizontal="left"/>
      <protection hidden="1"/>
    </xf>
    <xf numFmtId="0" fontId="41" fillId="0" borderId="6" xfId="0" applyFont="1" applyBorder="1" applyAlignment="1" applyProtection="1">
      <alignment horizontal="left"/>
      <protection hidden="1"/>
    </xf>
    <xf numFmtId="0" fontId="41" fillId="0" borderId="12" xfId="0" applyFont="1" applyBorder="1" applyAlignment="1" applyProtection="1">
      <alignment horizontal="left"/>
      <protection hidden="1"/>
    </xf>
    <xf numFmtId="0" fontId="0" fillId="0" borderId="40" xfId="0" applyBorder="1" applyAlignment="1" applyProtection="1">
      <alignment horizontal="center"/>
      <protection hidden="1"/>
    </xf>
    <xf numFmtId="0" fontId="0" fillId="0" borderId="17" xfId="0" applyBorder="1" applyAlignment="1" applyProtection="1">
      <alignment horizontal="center"/>
      <protection hidden="1"/>
    </xf>
    <xf numFmtId="0" fontId="43" fillId="0" borderId="45" xfId="0" applyFont="1" applyBorder="1" applyAlignment="1" applyProtection="1">
      <alignment horizontal="left" vertical="center"/>
      <protection hidden="1"/>
    </xf>
    <xf numFmtId="0" fontId="43" fillId="0" borderId="46" xfId="0" applyFont="1" applyBorder="1" applyAlignment="1" applyProtection="1">
      <alignment horizontal="left" vertical="center"/>
      <protection hidden="1"/>
    </xf>
    <xf numFmtId="2" fontId="38" fillId="0" borderId="1" xfId="0" applyNumberFormat="1" applyFont="1" applyBorder="1" applyAlignment="1" applyProtection="1">
      <alignment horizontal="center"/>
      <protection hidden="1"/>
    </xf>
    <xf numFmtId="0" fontId="38" fillId="0" borderId="1" xfId="0" applyFont="1" applyBorder="1" applyAlignment="1" applyProtection="1">
      <alignment horizontal="center"/>
      <protection hidden="1"/>
    </xf>
    <xf numFmtId="0" fontId="38" fillId="0" borderId="22" xfId="0" applyFont="1" applyBorder="1" applyAlignment="1" applyProtection="1">
      <alignment horizontal="center"/>
      <protection hidden="1"/>
    </xf>
    <xf numFmtId="0" fontId="0" fillId="6" borderId="1" xfId="0" applyFill="1" applyBorder="1" applyAlignment="1" applyProtection="1">
      <alignment horizontal="center" vertical="center"/>
      <protection hidden="1"/>
    </xf>
    <xf numFmtId="0" fontId="0" fillId="6" borderId="2" xfId="0" applyFont="1" applyFill="1" applyBorder="1" applyAlignment="1" applyProtection="1">
      <alignment horizontal="left"/>
      <protection hidden="1"/>
    </xf>
    <xf numFmtId="0" fontId="0" fillId="6" borderId="9" xfId="0" applyFont="1" applyFill="1" applyBorder="1" applyAlignment="1" applyProtection="1">
      <alignment horizontal="left"/>
      <protection hidden="1"/>
    </xf>
    <xf numFmtId="0" fontId="0" fillId="6" borderId="24" xfId="0" applyFont="1" applyFill="1" applyBorder="1" applyAlignment="1" applyProtection="1">
      <alignment horizontal="left"/>
      <protection hidden="1"/>
    </xf>
    <xf numFmtId="0" fontId="41" fillId="0" borderId="2" xfId="0" applyFont="1" applyBorder="1" applyAlignment="1" applyProtection="1">
      <alignment horizontal="center" vertical="center"/>
      <protection hidden="1"/>
    </xf>
    <xf numFmtId="0" fontId="41" fillId="0" borderId="4" xfId="0" applyFont="1" applyBorder="1" applyAlignment="1" applyProtection="1">
      <alignment horizontal="center" vertical="center"/>
      <protection hidden="1"/>
    </xf>
    <xf numFmtId="0" fontId="14" fillId="0" borderId="37" xfId="0" applyFont="1" applyBorder="1" applyAlignment="1" applyProtection="1">
      <alignment horizontal="center"/>
      <protection hidden="1"/>
    </xf>
    <xf numFmtId="0" fontId="14" fillId="0" borderId="38" xfId="0" applyFont="1" applyBorder="1" applyAlignment="1" applyProtection="1">
      <alignment horizontal="center"/>
      <protection hidden="1"/>
    </xf>
    <xf numFmtId="0" fontId="12" fillId="0" borderId="32" xfId="0" applyFont="1" applyBorder="1" applyAlignment="1" applyProtection="1">
      <alignment horizontal="center" wrapText="1"/>
      <protection hidden="1"/>
    </xf>
    <xf numFmtId="0" fontId="12" fillId="0" borderId="29" xfId="0" applyFont="1" applyBorder="1" applyAlignment="1" applyProtection="1">
      <alignment horizontal="center" wrapText="1"/>
      <protection hidden="1"/>
    </xf>
    <xf numFmtId="0" fontId="12" fillId="0" borderId="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6" fillId="0" borderId="3"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9" fillId="0" borderId="3"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3" fillId="0" borderId="3" xfId="0" applyFont="1" applyBorder="1" applyAlignment="1" applyProtection="1">
      <alignment horizontal="center" wrapText="1"/>
      <protection hidden="1"/>
    </xf>
    <xf numFmtId="0" fontId="13" fillId="0" borderId="10" xfId="0" applyFont="1" applyBorder="1" applyAlignment="1" applyProtection="1">
      <alignment horizontal="center" wrapText="1"/>
      <protection hidden="1"/>
    </xf>
    <xf numFmtId="0" fontId="0" fillId="0" borderId="3" xfId="0" applyFont="1" applyBorder="1" applyAlignment="1" applyProtection="1">
      <alignment horizontal="center" wrapText="1"/>
      <protection hidden="1"/>
    </xf>
    <xf numFmtId="0" fontId="0" fillId="0" borderId="10" xfId="0" applyFont="1" applyBorder="1" applyAlignment="1" applyProtection="1">
      <alignment horizontal="center" wrapText="1"/>
      <protection hidden="1"/>
    </xf>
    <xf numFmtId="0" fontId="10" fillId="0" borderId="3" xfId="0" applyFont="1" applyBorder="1" applyAlignment="1" applyProtection="1">
      <alignment horizontal="center" wrapText="1"/>
      <protection hidden="1"/>
    </xf>
    <xf numFmtId="0" fontId="10" fillId="0" borderId="10" xfId="0" applyFont="1" applyBorder="1" applyAlignment="1" applyProtection="1">
      <alignment horizontal="center" wrapText="1"/>
      <protection hidden="1"/>
    </xf>
    <xf numFmtId="0" fontId="12" fillId="0" borderId="26" xfId="0" applyFont="1" applyFill="1" applyBorder="1" applyAlignment="1" applyProtection="1">
      <alignment horizontal="center" vertical="center" wrapText="1"/>
      <protection hidden="1"/>
    </xf>
    <xf numFmtId="0" fontId="12" fillId="0" borderId="30" xfId="0" applyFont="1" applyFill="1" applyBorder="1" applyAlignment="1" applyProtection="1">
      <alignment horizontal="center" vertical="center" wrapText="1"/>
      <protection hidden="1"/>
    </xf>
    <xf numFmtId="0" fontId="14" fillId="0" borderId="27" xfId="0" applyFont="1" applyBorder="1" applyAlignment="1" applyProtection="1">
      <alignment horizontal="center"/>
      <protection hidden="1"/>
    </xf>
    <xf numFmtId="0" fontId="14" fillId="0" borderId="28" xfId="0" applyFont="1" applyBorder="1" applyAlignment="1" applyProtection="1">
      <alignment horizontal="center"/>
      <protection hidden="1"/>
    </xf>
    <xf numFmtId="14" fontId="41" fillId="0" borderId="2" xfId="0" applyNumberFormat="1" applyFont="1" applyBorder="1" applyAlignment="1" applyProtection="1">
      <alignment horizontal="center" vertical="center"/>
      <protection hidden="1"/>
    </xf>
    <xf numFmtId="14" fontId="41" fillId="0" borderId="9" xfId="0" applyNumberFormat="1" applyFont="1" applyBorder="1" applyAlignment="1" applyProtection="1">
      <alignment horizontal="center" vertical="center"/>
      <protection hidden="1"/>
    </xf>
    <xf numFmtId="14" fontId="41" fillId="0" borderId="4" xfId="0" applyNumberFormat="1" applyFont="1" applyBorder="1" applyAlignment="1" applyProtection="1">
      <alignment horizontal="center" vertical="center"/>
      <protection hidden="1"/>
    </xf>
    <xf numFmtId="0" fontId="16" fillId="0" borderId="32" xfId="0" applyFont="1" applyBorder="1" applyAlignment="1" applyProtection="1">
      <alignment horizontal="left"/>
      <protection hidden="1"/>
    </xf>
    <xf numFmtId="0" fontId="16" fillId="0" borderId="3" xfId="0" applyFont="1" applyBorder="1" applyAlignment="1" applyProtection="1">
      <alignment horizontal="left"/>
      <protection hidden="1"/>
    </xf>
    <xf numFmtId="2" fontId="33" fillId="0" borderId="3" xfId="0" applyNumberFormat="1" applyFont="1" applyBorder="1" applyAlignment="1" applyProtection="1">
      <alignment horizontal="center"/>
      <protection locked="0"/>
    </xf>
    <xf numFmtId="14" fontId="41" fillId="0" borderId="14" xfId="0" applyNumberFormat="1" applyFont="1" applyBorder="1" applyAlignment="1" applyProtection="1">
      <alignment horizontal="center" vertical="center"/>
      <protection hidden="1"/>
    </xf>
    <xf numFmtId="14" fontId="41" fillId="0" borderId="0" xfId="0" applyNumberFormat="1" applyFont="1" applyBorder="1" applyAlignment="1" applyProtection="1">
      <alignment horizontal="center" vertical="center"/>
      <protection hidden="1"/>
    </xf>
    <xf numFmtId="0" fontId="0" fillId="0" borderId="0" xfId="0" applyAlignment="1" applyProtection="1">
      <alignment horizontal="center"/>
      <protection hidden="1"/>
    </xf>
    <xf numFmtId="0" fontId="35" fillId="0" borderId="44" xfId="0" applyFont="1" applyBorder="1" applyAlignment="1" applyProtection="1">
      <alignment horizontal="center"/>
      <protection hidden="1"/>
    </xf>
    <xf numFmtId="0" fontId="35" fillId="0" borderId="28" xfId="0" applyFont="1" applyBorder="1" applyAlignment="1" applyProtection="1">
      <alignment horizontal="center"/>
      <protection hidden="1"/>
    </xf>
    <xf numFmtId="0" fontId="12" fillId="8" borderId="34" xfId="0" applyFont="1" applyFill="1" applyBorder="1" applyAlignment="1" applyProtection="1">
      <alignment horizontal="center"/>
      <protection hidden="1"/>
    </xf>
    <xf numFmtId="2" fontId="33" fillId="0" borderId="1" xfId="0" applyNumberFormat="1" applyFont="1" applyBorder="1" applyAlignment="1" applyProtection="1">
      <alignment horizontal="center" vertical="center"/>
      <protection locked="0"/>
    </xf>
    <xf numFmtId="2" fontId="33" fillId="0" borderId="34" xfId="0" applyNumberFormat="1" applyFont="1" applyBorder="1" applyAlignment="1" applyProtection="1">
      <alignment horizontal="center" vertical="center"/>
      <protection locked="0"/>
    </xf>
    <xf numFmtId="0" fontId="15" fillId="0" borderId="37" xfId="0" applyFont="1" applyBorder="1" applyAlignment="1" applyProtection="1">
      <alignment horizontal="center"/>
      <protection hidden="1"/>
    </xf>
    <xf numFmtId="0" fontId="15" fillId="0" borderId="38" xfId="0" applyFont="1" applyBorder="1" applyAlignment="1" applyProtection="1">
      <alignment horizontal="center"/>
      <protection hidden="1"/>
    </xf>
    <xf numFmtId="0" fontId="15" fillId="0" borderId="19" xfId="0" applyFont="1" applyBorder="1" applyAlignment="1" applyProtection="1">
      <alignment horizontal="center"/>
      <protection hidden="1"/>
    </xf>
    <xf numFmtId="0" fontId="15" fillId="0" borderId="39" xfId="0" applyFont="1" applyBorder="1" applyAlignment="1" applyProtection="1">
      <alignment horizontal="center"/>
      <protection hidden="1"/>
    </xf>
    <xf numFmtId="0" fontId="9" fillId="0" borderId="18"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61" fillId="0" borderId="40"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17" xfId="0" applyFont="1" applyBorder="1" applyAlignment="1" applyProtection="1">
      <alignment horizontal="center" vertical="center"/>
      <protection hidden="1"/>
    </xf>
    <xf numFmtId="0" fontId="61" fillId="0" borderId="41" xfId="0" applyFont="1" applyBorder="1" applyAlignment="1" applyProtection="1">
      <alignment horizontal="center" vertical="center"/>
      <protection hidden="1"/>
    </xf>
    <xf numFmtId="0" fontId="61" fillId="0" borderId="42" xfId="0" applyFont="1" applyBorder="1" applyAlignment="1" applyProtection="1">
      <alignment horizontal="center" vertical="center"/>
      <protection hidden="1"/>
    </xf>
    <xf numFmtId="0" fontId="61" fillId="0" borderId="43" xfId="0" applyFont="1" applyBorder="1" applyAlignment="1" applyProtection="1">
      <alignment horizontal="center" vertical="center"/>
      <protection hidden="1"/>
    </xf>
    <xf numFmtId="2" fontId="33" fillId="0" borderId="34" xfId="0" applyNumberFormat="1" applyFont="1" applyBorder="1" applyAlignment="1" applyProtection="1">
      <alignment horizontal="center"/>
      <protection locked="0"/>
    </xf>
    <xf numFmtId="2" fontId="33" fillId="0" borderId="35" xfId="0" applyNumberFormat="1" applyFont="1" applyBorder="1" applyAlignment="1" applyProtection="1">
      <alignment horizontal="center"/>
      <protection locked="0"/>
    </xf>
    <xf numFmtId="0" fontId="12" fillId="3" borderId="24" xfId="0" applyFont="1" applyFill="1" applyBorder="1" applyAlignment="1" applyProtection="1">
      <alignment horizontal="center"/>
      <protection hidden="1"/>
    </xf>
    <xf numFmtId="0" fontId="13" fillId="8" borderId="1" xfId="0" applyFont="1" applyFill="1" applyBorder="1" applyAlignment="1" applyProtection="1">
      <alignment horizontal="left" vertical="top"/>
      <protection hidden="1"/>
    </xf>
    <xf numFmtId="0" fontId="13" fillId="8" borderId="22" xfId="0" applyFont="1" applyFill="1" applyBorder="1" applyAlignment="1" applyProtection="1">
      <alignment horizontal="center" wrapText="1"/>
      <protection hidden="1"/>
    </xf>
    <xf numFmtId="0" fontId="34" fillId="0" borderId="3" xfId="0" applyFont="1" applyBorder="1" applyAlignment="1" applyProtection="1">
      <alignment horizontal="center" vertical="top" wrapText="1"/>
      <protection hidden="1"/>
    </xf>
    <xf numFmtId="0" fontId="34" fillId="0" borderId="10" xfId="0" applyFont="1" applyBorder="1" applyAlignment="1" applyProtection="1">
      <alignment horizontal="center" vertical="top" wrapText="1"/>
      <protection hidden="1"/>
    </xf>
    <xf numFmtId="0" fontId="35" fillId="0" borderId="61" xfId="0" applyFont="1" applyBorder="1" applyAlignment="1" applyProtection="1">
      <alignment horizontal="center" vertical="center"/>
      <protection hidden="1"/>
    </xf>
    <xf numFmtId="0" fontId="35" fillId="0" borderId="67" xfId="0" applyFont="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25" xfId="0" applyBorder="1" applyAlignment="1" applyProtection="1">
      <alignment horizontal="center"/>
      <protection hidden="1"/>
    </xf>
    <xf numFmtId="0" fontId="13" fillId="0" borderId="41" xfId="0" applyFont="1" applyBorder="1" applyAlignment="1" applyProtection="1">
      <alignment horizontal="center"/>
      <protection hidden="1"/>
    </xf>
    <xf numFmtId="0" fontId="13" fillId="0" borderId="42" xfId="0" applyFont="1" applyBorder="1" applyAlignment="1" applyProtection="1">
      <alignment horizontal="center"/>
      <protection hidden="1"/>
    </xf>
    <xf numFmtId="0" fontId="67" fillId="6" borderId="66" xfId="6" applyFill="1" applyBorder="1" applyProtection="1">
      <protection hidden="1"/>
    </xf>
    <xf numFmtId="0" fontId="41" fillId="0" borderId="15" xfId="0" applyFont="1" applyBorder="1" applyAlignment="1" applyProtection="1">
      <alignment horizontal="center" vertical="center"/>
      <protection hidden="1"/>
    </xf>
    <xf numFmtId="0" fontId="41" fillId="0" borderId="7" xfId="0" applyFont="1" applyBorder="1" applyAlignment="1" applyProtection="1">
      <alignment horizontal="center" vertical="center"/>
      <protection hidden="1"/>
    </xf>
    <xf numFmtId="0" fontId="41" fillId="0" borderId="8" xfId="0" applyFont="1" applyBorder="1" applyAlignment="1" applyProtection="1">
      <alignment horizontal="center" vertical="center"/>
      <protection hidden="1"/>
    </xf>
    <xf numFmtId="0" fontId="41" fillId="0" borderId="27" xfId="0" applyFont="1" applyBorder="1" applyAlignment="1" applyProtection="1">
      <alignment horizontal="left" vertical="center"/>
      <protection hidden="1"/>
    </xf>
    <xf numFmtId="0" fontId="41" fillId="0" borderId="5" xfId="0" applyFont="1" applyBorder="1" applyAlignment="1" applyProtection="1">
      <alignment horizontal="left" vertical="center"/>
      <protection hidden="1"/>
    </xf>
    <xf numFmtId="0" fontId="41" fillId="0" borderId="8" xfId="0" applyFont="1" applyBorder="1" applyAlignment="1" applyProtection="1">
      <alignment horizontal="left" vertical="center"/>
      <protection hidden="1"/>
    </xf>
    <xf numFmtId="0" fontId="35" fillId="0" borderId="27" xfId="0" applyFont="1" applyBorder="1" applyAlignment="1" applyProtection="1">
      <alignment horizontal="left" vertical="center"/>
      <protection hidden="1"/>
    </xf>
    <xf numFmtId="0" fontId="35" fillId="0" borderId="5" xfId="0" applyFont="1" applyBorder="1" applyAlignment="1" applyProtection="1">
      <alignment horizontal="left" vertical="center"/>
      <protection hidden="1"/>
    </xf>
    <xf numFmtId="2" fontId="0" fillId="0" borderId="2" xfId="0" applyNumberFormat="1" applyBorder="1" applyAlignment="1" applyProtection="1">
      <alignment horizontal="center"/>
      <protection hidden="1"/>
    </xf>
    <xf numFmtId="0" fontId="0" fillId="0" borderId="4" xfId="0" applyBorder="1" applyAlignment="1" applyProtection="1">
      <alignment horizontal="center"/>
      <protection hidden="1"/>
    </xf>
    <xf numFmtId="2" fontId="34" fillId="0" borderId="9" xfId="0" applyNumberFormat="1" applyFont="1" applyBorder="1" applyAlignment="1" applyProtection="1">
      <alignment horizontal="center"/>
      <protection hidden="1"/>
    </xf>
    <xf numFmtId="0" fontId="34" fillId="0" borderId="4" xfId="0" applyFont="1" applyBorder="1" applyAlignment="1" applyProtection="1">
      <alignment horizontal="center"/>
      <protection hidden="1"/>
    </xf>
    <xf numFmtId="0" fontId="59" fillId="0" borderId="64" xfId="0" applyFont="1" applyBorder="1" applyAlignment="1" applyProtection="1">
      <alignment horizontal="center" vertical="center"/>
      <protection hidden="1"/>
    </xf>
    <xf numFmtId="0" fontId="59" fillId="0" borderId="29" xfId="0" applyFont="1" applyBorder="1" applyAlignment="1" applyProtection="1">
      <alignment horizontal="center" vertical="center"/>
      <protection hidden="1"/>
    </xf>
    <xf numFmtId="0" fontId="0" fillId="6" borderId="60" xfId="0" applyFill="1" applyBorder="1" applyAlignment="1" applyProtection="1">
      <alignment horizontal="center"/>
      <protection hidden="1"/>
    </xf>
    <xf numFmtId="2" fontId="34" fillId="0" borderId="1" xfId="0" applyNumberFormat="1"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16" fillId="0" borderId="60" xfId="0" applyFont="1" applyBorder="1" applyAlignment="1" applyProtection="1">
      <alignment horizontal="center"/>
      <protection hidden="1"/>
    </xf>
    <xf numFmtId="0" fontId="41" fillId="0" borderId="11" xfId="0" applyFont="1" applyBorder="1" applyAlignment="1" applyProtection="1">
      <alignment horizontal="center" vertical="center"/>
      <protection hidden="1"/>
    </xf>
    <xf numFmtId="0" fontId="41" fillId="0" borderId="6" xfId="0" applyFont="1" applyBorder="1" applyAlignment="1" applyProtection="1">
      <alignment horizontal="center" vertical="center"/>
      <protection hidden="1"/>
    </xf>
    <xf numFmtId="0" fontId="41" fillId="0" borderId="5" xfId="0" applyFont="1" applyBorder="1" applyAlignment="1" applyProtection="1">
      <alignment horizontal="center" vertical="center"/>
      <protection hidden="1"/>
    </xf>
    <xf numFmtId="0" fontId="35" fillId="6" borderId="23" xfId="0" applyFont="1" applyFill="1" applyBorder="1" applyAlignment="1" applyProtection="1">
      <alignment horizontal="center" vertical="center"/>
      <protection hidden="1"/>
    </xf>
    <xf numFmtId="0" fontId="35" fillId="6" borderId="9" xfId="0" applyFont="1" applyFill="1" applyBorder="1" applyAlignment="1" applyProtection="1">
      <alignment horizontal="center" vertical="center"/>
      <protection hidden="1"/>
    </xf>
    <xf numFmtId="0" fontId="35" fillId="6" borderId="4" xfId="0" applyFont="1" applyFill="1" applyBorder="1" applyAlignment="1" applyProtection="1">
      <alignment horizontal="center" vertical="center"/>
      <protection hidden="1"/>
    </xf>
    <xf numFmtId="0" fontId="80" fillId="0" borderId="54" xfId="2" applyFont="1" applyBorder="1" applyAlignment="1" applyProtection="1">
      <alignment horizontal="center" vertical="center"/>
      <protection locked="0"/>
    </xf>
    <xf numFmtId="0" fontId="80" fillId="0" borderId="55" xfId="2" applyFont="1" applyBorder="1" applyAlignment="1" applyProtection="1">
      <alignment horizontal="center" vertical="center"/>
      <protection locked="0"/>
    </xf>
    <xf numFmtId="0" fontId="80" fillId="0" borderId="56" xfId="2" applyFont="1" applyBorder="1" applyAlignment="1" applyProtection="1">
      <alignment horizontal="center" vertical="center"/>
      <protection locked="0"/>
    </xf>
    <xf numFmtId="0" fontId="80" fillId="0" borderId="42" xfId="2" applyFont="1" applyBorder="1" applyAlignment="1" applyProtection="1">
      <alignment horizontal="center" vertical="center"/>
      <protection locked="0"/>
    </xf>
    <xf numFmtId="49" fontId="35" fillId="0" borderId="2" xfId="0" applyNumberFormat="1" applyFont="1" applyBorder="1" applyAlignment="1" applyProtection="1">
      <alignment horizontal="center"/>
      <protection hidden="1"/>
    </xf>
    <xf numFmtId="0" fontId="110" fillId="0" borderId="2" xfId="0" applyFont="1" applyBorder="1" applyAlignment="1" applyProtection="1">
      <alignment horizontal="center" vertical="center"/>
      <protection hidden="1"/>
    </xf>
    <xf numFmtId="0" fontId="111" fillId="0" borderId="9" xfId="0" applyFont="1" applyBorder="1" applyAlignment="1" applyProtection="1">
      <alignment vertical="center"/>
      <protection hidden="1"/>
    </xf>
    <xf numFmtId="0" fontId="110" fillId="0" borderId="4" xfId="0" applyFont="1" applyBorder="1" applyAlignment="1" applyProtection="1">
      <alignment horizontal="center" vertical="center"/>
      <protection hidden="1"/>
    </xf>
    <xf numFmtId="0" fontId="0" fillId="0" borderId="0" xfId="0" applyAlignment="1">
      <alignment horizontal="center"/>
    </xf>
    <xf numFmtId="0" fontId="0" fillId="0" borderId="9" xfId="0" applyBorder="1" applyProtection="1">
      <protection hidden="1"/>
    </xf>
    <xf numFmtId="0" fontId="0" fillId="0" borderId="24" xfId="0" applyBorder="1" applyProtection="1">
      <protection hidden="1"/>
    </xf>
    <xf numFmtId="0" fontId="16" fillId="0" borderId="23"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35" fillId="0" borderId="9" xfId="0" applyNumberFormat="1" applyFont="1" applyBorder="1" applyAlignment="1" applyProtection="1">
      <alignment horizontal="center"/>
      <protection hidden="1"/>
    </xf>
    <xf numFmtId="0" fontId="35" fillId="0" borderId="4" xfId="0" applyNumberFormat="1" applyFont="1" applyBorder="1" applyAlignment="1" applyProtection="1">
      <alignment horizontal="center"/>
      <protection hidden="1"/>
    </xf>
    <xf numFmtId="0" fontId="19" fillId="0" borderId="23"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80" fillId="0" borderId="42" xfId="2" applyFont="1" applyBorder="1" applyAlignment="1" applyProtection="1">
      <alignment horizontal="center" vertical="center"/>
      <protection hidden="1"/>
    </xf>
    <xf numFmtId="2" fontId="33" fillId="0" borderId="1" xfId="0" applyNumberFormat="1" applyFont="1" applyBorder="1" applyAlignment="1" applyProtection="1">
      <alignment horizontal="center" vertical="center"/>
      <protection hidden="1"/>
    </xf>
    <xf numFmtId="2" fontId="33" fillId="0" borderId="22" xfId="0" applyNumberFormat="1" applyFont="1" applyBorder="1" applyAlignment="1" applyProtection="1">
      <alignment horizontal="center" vertical="center"/>
      <protection hidden="1"/>
    </xf>
    <xf numFmtId="0" fontId="41" fillId="6" borderId="27" xfId="0" applyFont="1" applyFill="1" applyBorder="1" applyAlignment="1" applyProtection="1">
      <alignment horizontal="center" vertical="center"/>
      <protection hidden="1"/>
    </xf>
    <xf numFmtId="0" fontId="41" fillId="6" borderId="5" xfId="0" applyFont="1" applyFill="1" applyBorder="1" applyAlignment="1" applyProtection="1">
      <alignment horizontal="center" vertical="center"/>
      <protection hidden="1"/>
    </xf>
    <xf numFmtId="0" fontId="41" fillId="6" borderId="28" xfId="0" applyFont="1" applyFill="1" applyBorder="1" applyAlignment="1" applyProtection="1">
      <alignment horizontal="center" vertical="center"/>
      <protection hidden="1"/>
    </xf>
    <xf numFmtId="0" fontId="35" fillId="0" borderId="1" xfId="0" applyFont="1" applyBorder="1" applyAlignment="1" applyProtection="1">
      <alignment horizontal="center" vertical="center" wrapText="1"/>
      <protection hidden="1"/>
    </xf>
    <xf numFmtId="0" fontId="35" fillId="0" borderId="34" xfId="0" applyFont="1" applyBorder="1" applyAlignment="1" applyProtection="1">
      <alignment horizontal="center" vertical="center" wrapText="1"/>
      <protection hidden="1"/>
    </xf>
    <xf numFmtId="0" fontId="41" fillId="0" borderId="60" xfId="0" applyFont="1" applyBorder="1" applyAlignment="1" applyProtection="1">
      <alignment horizontal="center" vertical="center" wrapText="1"/>
      <protection hidden="1"/>
    </xf>
    <xf numFmtId="0" fontId="41" fillId="0" borderId="1" xfId="0" applyFont="1" applyBorder="1" applyAlignment="1" applyProtection="1">
      <alignment horizontal="center" vertical="center" wrapText="1"/>
      <protection hidden="1"/>
    </xf>
    <xf numFmtId="0" fontId="41" fillId="0" borderId="34" xfId="0" applyFont="1" applyBorder="1" applyAlignment="1" applyProtection="1">
      <alignment horizontal="center" vertical="center" wrapText="1"/>
      <protection hidden="1"/>
    </xf>
    <xf numFmtId="0" fontId="43" fillId="0" borderId="60" xfId="0" applyFont="1" applyBorder="1" applyAlignment="1" applyProtection="1">
      <alignment horizontal="center" vertical="center" wrapText="1"/>
      <protection hidden="1"/>
    </xf>
    <xf numFmtId="0" fontId="43" fillId="0" borderId="1" xfId="0" applyFont="1" applyBorder="1" applyAlignment="1" applyProtection="1">
      <alignment horizontal="center" vertical="center" wrapText="1"/>
      <protection hidden="1"/>
    </xf>
    <xf numFmtId="0" fontId="43" fillId="0" borderId="34" xfId="0" applyFont="1" applyBorder="1" applyAlignment="1" applyProtection="1">
      <alignment horizontal="center" vertical="center" wrapText="1"/>
      <protection hidden="1"/>
    </xf>
    <xf numFmtId="0" fontId="41" fillId="0" borderId="63" xfId="0" applyFont="1" applyBorder="1" applyAlignment="1" applyProtection="1">
      <alignment horizontal="center" vertical="center" wrapText="1"/>
      <protection hidden="1"/>
    </xf>
    <xf numFmtId="0" fontId="41" fillId="0" borderId="22" xfId="0" applyFont="1" applyBorder="1" applyAlignment="1" applyProtection="1">
      <alignment horizontal="center" vertical="center" wrapText="1"/>
      <protection hidden="1"/>
    </xf>
    <xf numFmtId="0" fontId="41" fillId="0" borderId="57" xfId="0" applyFont="1" applyBorder="1" applyAlignment="1" applyProtection="1">
      <alignment horizontal="center" vertical="center" wrapText="1"/>
      <protection hidden="1"/>
    </xf>
    <xf numFmtId="0" fontId="41" fillId="0" borderId="60" xfId="0" applyFont="1" applyBorder="1" applyAlignment="1" applyProtection="1">
      <alignment horizontal="center"/>
      <protection hidden="1"/>
    </xf>
    <xf numFmtId="0" fontId="35" fillId="0" borderId="49" xfId="0" applyFont="1" applyBorder="1" applyAlignment="1" applyProtection="1">
      <alignment horizontal="center" vertical="center" wrapText="1"/>
      <protection hidden="1"/>
    </xf>
    <xf numFmtId="0" fontId="35" fillId="0" borderId="14" xfId="0" applyFont="1" applyBorder="1" applyAlignment="1" applyProtection="1">
      <alignment horizontal="center" vertical="center" wrapText="1"/>
      <protection hidden="1"/>
    </xf>
    <xf numFmtId="0" fontId="35" fillId="0" borderId="48" xfId="0" applyFont="1" applyBorder="1" applyAlignment="1" applyProtection="1">
      <alignment horizontal="center" vertical="center" wrapText="1"/>
      <protection hidden="1"/>
    </xf>
    <xf numFmtId="0" fontId="35" fillId="0" borderId="21" xfId="0" applyFont="1" applyBorder="1" applyAlignment="1" applyProtection="1">
      <alignment horizontal="center"/>
      <protection hidden="1"/>
    </xf>
    <xf numFmtId="0" fontId="35" fillId="0" borderId="42" xfId="0" applyFont="1" applyBorder="1" applyAlignment="1" applyProtection="1">
      <alignment horizontal="center"/>
      <protection hidden="1"/>
    </xf>
    <xf numFmtId="0" fontId="35" fillId="0" borderId="41" xfId="0" applyFont="1" applyBorder="1" applyAlignment="1" applyProtection="1">
      <alignment horizontal="center"/>
      <protection hidden="1"/>
    </xf>
    <xf numFmtId="0" fontId="77" fillId="0" borderId="42" xfId="2" applyFont="1" applyBorder="1" applyAlignment="1" applyProtection="1">
      <alignment horizontal="center" vertical="center"/>
      <protection locked="0"/>
    </xf>
    <xf numFmtId="0" fontId="35" fillId="0" borderId="22" xfId="0" applyFont="1" applyBorder="1" applyAlignment="1" applyProtection="1">
      <alignment horizontal="center"/>
      <protection hidden="1"/>
    </xf>
    <xf numFmtId="0" fontId="41" fillId="6" borderId="0" xfId="0" applyFont="1" applyFill="1" applyBorder="1" applyAlignment="1" applyProtection="1">
      <alignment horizontal="center"/>
      <protection hidden="1"/>
    </xf>
    <xf numFmtId="0" fontId="41" fillId="0" borderId="37" xfId="0" applyFont="1" applyBorder="1" applyAlignment="1" applyProtection="1">
      <alignment horizontal="center" vertical="center"/>
      <protection hidden="1"/>
    </xf>
    <xf numFmtId="0" fontId="41" fillId="0" borderId="38" xfId="0" applyFont="1" applyBorder="1" applyAlignment="1" applyProtection="1">
      <alignment horizontal="center" vertical="center"/>
      <protection hidden="1"/>
    </xf>
    <xf numFmtId="0" fontId="41" fillId="0" borderId="19" xfId="0" applyFont="1" applyBorder="1" applyAlignment="1" applyProtection="1">
      <alignment horizontal="center" vertical="center"/>
      <protection hidden="1"/>
    </xf>
    <xf numFmtId="0" fontId="41" fillId="0" borderId="20" xfId="0" applyFont="1" applyBorder="1" applyAlignment="1" applyProtection="1">
      <alignment horizontal="center" vertical="center"/>
      <protection hidden="1"/>
    </xf>
    <xf numFmtId="0" fontId="42" fillId="0" borderId="42" xfId="0" applyFont="1" applyBorder="1" applyAlignment="1" applyProtection="1">
      <alignment horizontal="center"/>
      <protection hidden="1"/>
    </xf>
    <xf numFmtId="0" fontId="42" fillId="0" borderId="43" xfId="0" applyFont="1" applyBorder="1" applyAlignment="1" applyProtection="1">
      <alignment horizontal="center"/>
      <protection hidden="1"/>
    </xf>
    <xf numFmtId="0" fontId="41" fillId="6" borderId="25" xfId="0" applyFont="1" applyFill="1" applyBorder="1" applyAlignment="1" applyProtection="1">
      <alignment horizontal="center" vertical="center"/>
      <protection hidden="1"/>
    </xf>
    <xf numFmtId="0" fontId="41" fillId="6" borderId="6" xfId="0" applyFont="1" applyFill="1" applyBorder="1" applyAlignment="1" applyProtection="1">
      <alignment horizontal="center" vertical="center"/>
      <protection hidden="1"/>
    </xf>
    <xf numFmtId="0" fontId="41" fillId="6" borderId="44" xfId="0" applyFont="1" applyFill="1" applyBorder="1" applyAlignment="1" applyProtection="1">
      <alignment horizontal="center" vertical="center"/>
      <protection hidden="1"/>
    </xf>
    <xf numFmtId="0" fontId="58" fillId="0" borderId="1" xfId="0" applyFont="1" applyBorder="1" applyAlignment="1" applyProtection="1">
      <alignment horizontal="center" vertical="center" wrapText="1"/>
      <protection hidden="1"/>
    </xf>
    <xf numFmtId="0" fontId="58" fillId="0" borderId="34" xfId="0" applyFont="1" applyBorder="1" applyAlignment="1" applyProtection="1">
      <alignment horizontal="center" vertical="center" wrapText="1"/>
      <protection hidden="1"/>
    </xf>
    <xf numFmtId="0" fontId="35" fillId="0" borderId="64" xfId="0" applyFont="1" applyBorder="1" applyAlignment="1" applyProtection="1">
      <alignment horizontal="center" vertical="center" wrapText="1"/>
      <protection hidden="1"/>
    </xf>
    <xf numFmtId="0" fontId="35" fillId="0" borderId="51" xfId="0" applyFont="1" applyBorder="1" applyAlignment="1" applyProtection="1">
      <alignment horizontal="center" vertical="center" wrapText="1"/>
      <protection hidden="1"/>
    </xf>
    <xf numFmtId="0" fontId="35" fillId="0" borderId="52" xfId="0" applyFont="1" applyBorder="1" applyAlignment="1" applyProtection="1">
      <alignment horizontal="center" vertical="center" wrapText="1"/>
      <protection hidden="1"/>
    </xf>
    <xf numFmtId="0" fontId="35" fillId="6" borderId="23" xfId="0" applyFont="1" applyFill="1" applyBorder="1" applyAlignment="1" applyProtection="1">
      <alignment horizontal="center"/>
      <protection hidden="1"/>
    </xf>
    <xf numFmtId="0" fontId="35" fillId="6" borderId="24" xfId="0" applyFont="1" applyFill="1" applyBorder="1" applyAlignment="1" applyProtection="1">
      <alignment horizontal="center"/>
      <protection hidden="1"/>
    </xf>
    <xf numFmtId="0" fontId="0" fillId="0" borderId="44" xfId="0" applyBorder="1" applyAlignment="1" applyProtection="1">
      <alignment horizontal="center"/>
      <protection hidden="1"/>
    </xf>
    <xf numFmtId="0" fontId="35" fillId="0" borderId="0" xfId="0" applyFont="1" applyBorder="1" applyAlignment="1" applyProtection="1">
      <alignment horizontal="left" vertical="center"/>
      <protection hidden="1"/>
    </xf>
    <xf numFmtId="0" fontId="35" fillId="0" borderId="17" xfId="0" applyFont="1" applyBorder="1" applyAlignment="1" applyProtection="1">
      <alignment horizontal="left" vertical="center"/>
      <protection hidden="1"/>
    </xf>
    <xf numFmtId="0" fontId="35" fillId="0" borderId="62" xfId="0" applyFont="1" applyBorder="1" applyAlignment="1" applyProtection="1">
      <alignment horizontal="center" vertical="center" wrapText="1"/>
      <protection hidden="1"/>
    </xf>
    <xf numFmtId="0" fontId="35" fillId="0" borderId="16" xfId="0" applyFont="1" applyBorder="1" applyAlignment="1" applyProtection="1">
      <alignment horizontal="center" vertical="center" wrapText="1"/>
      <protection hidden="1"/>
    </xf>
    <xf numFmtId="0" fontId="35" fillId="0" borderId="53" xfId="0" applyFont="1" applyBorder="1" applyAlignment="1" applyProtection="1">
      <alignment horizontal="center" vertical="center" wrapText="1"/>
      <protection hidden="1"/>
    </xf>
    <xf numFmtId="0" fontId="41" fillId="6" borderId="7" xfId="0" applyFont="1" applyFill="1" applyBorder="1" applyAlignment="1" applyProtection="1">
      <alignment horizontal="center" vertical="center"/>
      <protection hidden="1"/>
    </xf>
    <xf numFmtId="0" fontId="41" fillId="6" borderId="8" xfId="0" applyFont="1" applyFill="1" applyBorder="1" applyAlignment="1" applyProtection="1">
      <alignment horizontal="center" vertical="center"/>
      <protection hidden="1"/>
    </xf>
    <xf numFmtId="0" fontId="42" fillId="0" borderId="1" xfId="0" applyFont="1" applyBorder="1" applyAlignment="1" applyProtection="1">
      <alignment horizontal="center" vertical="center" wrapText="1"/>
      <protection hidden="1"/>
    </xf>
    <xf numFmtId="0" fontId="42" fillId="0" borderId="34" xfId="0" applyFont="1" applyBorder="1" applyAlignment="1" applyProtection="1">
      <alignment horizontal="center" vertical="center" wrapText="1"/>
      <protection hidden="1"/>
    </xf>
    <xf numFmtId="49" fontId="35" fillId="0" borderId="4" xfId="0" applyNumberFormat="1" applyFont="1" applyBorder="1" applyAlignment="1" applyProtection="1">
      <alignment horizontal="center"/>
      <protection hidden="1"/>
    </xf>
    <xf numFmtId="0" fontId="77" fillId="0" borderId="42" xfId="2" applyFont="1" applyBorder="1" applyAlignment="1" applyProtection="1">
      <alignment horizontal="center"/>
      <protection locked="0"/>
    </xf>
    <xf numFmtId="0" fontId="41" fillId="6" borderId="0" xfId="0" applyFont="1" applyFill="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0" fontId="41" fillId="6" borderId="40" xfId="0" applyFont="1" applyFill="1" applyBorder="1" applyAlignment="1" applyProtection="1">
      <alignment horizontal="center" vertical="center"/>
      <protection hidden="1"/>
    </xf>
    <xf numFmtId="0" fontId="41" fillId="6" borderId="17"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49" fontId="35" fillId="0" borderId="4" xfId="0" applyNumberFormat="1" applyFont="1" applyBorder="1" applyAlignment="1" applyProtection="1">
      <alignment horizontal="center" vertical="center"/>
      <protection hidden="1"/>
    </xf>
    <xf numFmtId="0" fontId="35" fillId="6" borderId="24" xfId="0" applyFont="1" applyFill="1" applyBorder="1" applyAlignment="1" applyProtection="1">
      <alignment horizontal="center" vertical="center"/>
      <protection hidden="1"/>
    </xf>
    <xf numFmtId="49" fontId="35" fillId="0" borderId="9" xfId="0" applyNumberFormat="1" applyFont="1"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4" xfId="0" applyBorder="1" applyAlignment="1" applyProtection="1">
      <alignment vertical="center"/>
      <protection hidden="1"/>
    </xf>
    <xf numFmtId="0" fontId="43" fillId="0" borderId="62" xfId="0" applyFont="1" applyBorder="1" applyAlignment="1" applyProtection="1">
      <alignment horizontal="center" vertical="center" wrapText="1"/>
      <protection hidden="1"/>
    </xf>
    <xf numFmtId="0" fontId="43" fillId="0" borderId="16" xfId="0" applyFont="1" applyBorder="1" applyAlignment="1" applyProtection="1">
      <alignment horizontal="center" vertical="center" wrapText="1"/>
      <protection hidden="1"/>
    </xf>
    <xf numFmtId="0" fontId="43" fillId="0" borderId="53" xfId="0" applyFont="1" applyBorder="1" applyAlignment="1" applyProtection="1">
      <alignment horizontal="center" vertical="center" wrapText="1"/>
      <protection hidden="1"/>
    </xf>
    <xf numFmtId="0" fontId="41" fillId="0" borderId="65" xfId="0" applyFont="1" applyBorder="1" applyAlignment="1" applyProtection="1">
      <alignment horizontal="center" vertical="center" wrapText="1"/>
      <protection hidden="1"/>
    </xf>
    <xf numFmtId="0" fontId="41" fillId="0" borderId="31" xfId="0" applyFont="1" applyBorder="1" applyAlignment="1" applyProtection="1">
      <alignment horizontal="center" vertical="center" wrapText="1"/>
      <protection hidden="1"/>
    </xf>
    <xf numFmtId="0" fontId="41" fillId="0" borderId="36" xfId="0" applyFont="1" applyBorder="1" applyAlignment="1" applyProtection="1">
      <alignment horizontal="center" vertical="center" wrapText="1"/>
      <protection hidden="1"/>
    </xf>
    <xf numFmtId="0" fontId="0" fillId="12" borderId="64" xfId="0" applyFont="1" applyFill="1" applyBorder="1" applyAlignment="1" applyProtection="1">
      <alignment horizontal="center" vertical="center" wrapText="1"/>
      <protection hidden="1"/>
    </xf>
    <xf numFmtId="0" fontId="0" fillId="12" borderId="51" xfId="0" applyFont="1" applyFill="1" applyBorder="1" applyAlignment="1" applyProtection="1">
      <alignment horizontal="center" vertical="center" wrapText="1"/>
      <protection hidden="1"/>
    </xf>
    <xf numFmtId="0" fontId="0" fillId="12" borderId="52" xfId="0" applyFont="1" applyFill="1" applyBorder="1" applyAlignment="1" applyProtection="1">
      <alignment horizontal="center" vertical="center" wrapText="1"/>
      <protection hidden="1"/>
    </xf>
    <xf numFmtId="0" fontId="35" fillId="12" borderId="62" xfId="0" applyFont="1" applyFill="1" applyBorder="1" applyAlignment="1" applyProtection="1">
      <alignment horizontal="center" vertical="center" wrapText="1"/>
      <protection hidden="1"/>
    </xf>
    <xf numFmtId="0" fontId="35" fillId="12" borderId="16" xfId="0" applyFont="1" applyFill="1" applyBorder="1" applyAlignment="1" applyProtection="1">
      <alignment horizontal="center" vertical="center" wrapText="1"/>
      <protection hidden="1"/>
    </xf>
    <xf numFmtId="0" fontId="35" fillId="12" borderId="53" xfId="0" applyFont="1" applyFill="1" applyBorder="1" applyAlignment="1" applyProtection="1">
      <alignment horizontal="center" vertical="center" wrapText="1"/>
      <protection hidden="1"/>
    </xf>
    <xf numFmtId="0" fontId="35" fillId="6" borderId="40" xfId="0" applyFont="1" applyFill="1" applyBorder="1" applyAlignment="1" applyProtection="1">
      <alignment horizontal="center" vertical="center"/>
      <protection hidden="1"/>
    </xf>
    <xf numFmtId="0" fontId="35" fillId="6" borderId="0" xfId="0" applyFont="1" applyFill="1" applyBorder="1" applyAlignment="1" applyProtection="1">
      <alignment horizontal="center" vertical="center"/>
      <protection hidden="1"/>
    </xf>
    <xf numFmtId="0" fontId="35" fillId="6" borderId="17" xfId="0" applyFont="1" applyFill="1" applyBorder="1" applyAlignment="1" applyProtection="1">
      <alignment horizontal="center" vertical="center"/>
      <protection hidden="1"/>
    </xf>
    <xf numFmtId="0" fontId="43" fillId="0" borderId="65" xfId="0" applyFont="1" applyBorder="1" applyAlignment="1" applyProtection="1">
      <alignment horizontal="center" vertical="center" wrapText="1"/>
      <protection hidden="1"/>
    </xf>
    <xf numFmtId="0" fontId="43" fillId="0" borderId="31" xfId="0" applyFont="1" applyBorder="1" applyAlignment="1" applyProtection="1">
      <alignment horizontal="center" vertical="center" wrapText="1"/>
      <protection hidden="1"/>
    </xf>
    <xf numFmtId="0" fontId="43" fillId="0" borderId="36" xfId="0" applyFont="1" applyBorder="1" applyAlignment="1" applyProtection="1">
      <alignment horizontal="center" vertical="center" wrapText="1"/>
      <protection hidden="1"/>
    </xf>
    <xf numFmtId="0" fontId="41" fillId="0" borderId="59" xfId="0" applyFont="1" applyBorder="1" applyAlignment="1" applyProtection="1">
      <alignment horizontal="center" vertical="center"/>
      <protection hidden="1"/>
    </xf>
    <xf numFmtId="0" fontId="41" fillId="0" borderId="60" xfId="0" applyFont="1" applyBorder="1" applyAlignment="1" applyProtection="1">
      <alignment horizontal="center" vertical="center"/>
      <protection hidden="1"/>
    </xf>
    <xf numFmtId="0" fontId="41" fillId="0" borderId="61" xfId="0" applyFont="1" applyBorder="1" applyAlignment="1" applyProtection="1">
      <alignment horizontal="center" vertical="center"/>
      <protection hidden="1"/>
    </xf>
    <xf numFmtId="0" fontId="41" fillId="0" borderId="50" xfId="0" applyFont="1" applyBorder="1" applyAlignment="1" applyProtection="1">
      <alignment horizontal="center" vertical="center"/>
      <protection hidden="1"/>
    </xf>
    <xf numFmtId="0" fontId="41" fillId="0" borderId="62" xfId="0" applyFont="1" applyBorder="1" applyAlignment="1" applyProtection="1">
      <alignment horizontal="center" vertical="center"/>
      <protection hidden="1"/>
    </xf>
    <xf numFmtId="0" fontId="41" fillId="0" borderId="63" xfId="0" applyFont="1" applyBorder="1" applyAlignment="1" applyProtection="1">
      <alignment horizontal="center" vertical="center"/>
      <protection hidden="1"/>
    </xf>
    <xf numFmtId="0" fontId="35" fillId="0" borderId="25" xfId="0" applyFont="1" applyBorder="1" applyAlignment="1" applyProtection="1">
      <alignment horizontal="center" vertical="center"/>
      <protection hidden="1"/>
    </xf>
    <xf numFmtId="0" fontId="35" fillId="0" borderId="6"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41" fillId="6" borderId="10" xfId="0" applyFont="1" applyFill="1" applyBorder="1" applyAlignment="1" applyProtection="1">
      <alignment horizontal="center" vertical="center"/>
      <protection hidden="1"/>
    </xf>
    <xf numFmtId="0" fontId="35" fillId="0" borderId="11" xfId="0" applyFont="1" applyBorder="1" applyAlignment="1" applyProtection="1">
      <alignment horizontal="center" vertical="center"/>
      <protection hidden="1"/>
    </xf>
    <xf numFmtId="0" fontId="35" fillId="0" borderId="44" xfId="0" applyFont="1" applyBorder="1" applyAlignment="1" applyProtection="1">
      <alignment horizontal="center" vertical="center"/>
      <protection hidden="1"/>
    </xf>
    <xf numFmtId="0" fontId="35" fillId="0" borderId="1" xfId="0" applyNumberFormat="1" applyFont="1" applyBorder="1" applyAlignment="1" applyProtection="1">
      <alignment horizontal="center" vertical="center"/>
      <protection hidden="1"/>
    </xf>
    <xf numFmtId="0" fontId="42" fillId="0" borderId="40" xfId="0" applyFont="1" applyBorder="1" applyAlignment="1" applyProtection="1">
      <alignment horizontal="center"/>
      <protection hidden="1"/>
    </xf>
    <xf numFmtId="0" fontId="42" fillId="0" borderId="0" xfId="0" applyFont="1" applyBorder="1" applyAlignment="1" applyProtection="1">
      <alignment horizontal="center"/>
      <protection hidden="1"/>
    </xf>
    <xf numFmtId="0" fontId="42" fillId="0" borderId="17" xfId="0" applyFont="1" applyBorder="1" applyAlignment="1" applyProtection="1">
      <alignment horizontal="center"/>
      <protection hidden="1"/>
    </xf>
    <xf numFmtId="0" fontId="59" fillId="0" borderId="62" xfId="0" applyFont="1" applyBorder="1" applyAlignment="1" applyProtection="1">
      <alignment horizontal="center" vertical="center" wrapText="1"/>
      <protection hidden="1"/>
    </xf>
    <xf numFmtId="0" fontId="59" fillId="0" borderId="16" xfId="0" applyFont="1" applyBorder="1" applyAlignment="1" applyProtection="1">
      <alignment horizontal="center" vertical="center" wrapText="1"/>
      <protection hidden="1"/>
    </xf>
    <xf numFmtId="0" fontId="59" fillId="0" borderId="53" xfId="0" applyFont="1" applyBorder="1" applyAlignment="1" applyProtection="1">
      <alignment horizontal="center" vertical="center" wrapText="1"/>
      <protection hidden="1"/>
    </xf>
    <xf numFmtId="0" fontId="51" fillId="0" borderId="0" xfId="0" applyFont="1" applyBorder="1" applyAlignment="1" applyProtection="1">
      <alignment horizontal="center"/>
      <protection hidden="1"/>
    </xf>
    <xf numFmtId="0" fontId="42" fillId="0" borderId="41" xfId="0" applyFont="1" applyBorder="1" applyAlignment="1" applyProtection="1">
      <alignment horizontal="center"/>
      <protection hidden="1"/>
    </xf>
    <xf numFmtId="0" fontId="35" fillId="6" borderId="21" xfId="0" applyFont="1" applyFill="1" applyBorder="1" applyAlignment="1" applyProtection="1">
      <alignment horizontal="center" vertical="center"/>
      <protection hidden="1"/>
    </xf>
    <xf numFmtId="0" fontId="35" fillId="6" borderId="1" xfId="0" applyFont="1" applyFill="1" applyBorder="1" applyAlignment="1" applyProtection="1">
      <alignment horizontal="center" vertical="center"/>
      <protection hidden="1"/>
    </xf>
    <xf numFmtId="0" fontId="35" fillId="6" borderId="22" xfId="0" applyFont="1" applyFill="1" applyBorder="1" applyAlignment="1" applyProtection="1">
      <alignment horizontal="center" vertical="center"/>
      <protection hidden="1"/>
    </xf>
  </cellXfs>
  <cellStyles count="7">
    <cellStyle name="Bad" xfId="4" builtinId="27"/>
    <cellStyle name="Calculation" xfId="1" builtinId="22"/>
    <cellStyle name="Check Cell" xfId="6" builtinId="23"/>
    <cellStyle name="Good" xfId="3" builtinId="26"/>
    <cellStyle name="Hyperlink" xfId="2" builtinId="8"/>
    <cellStyle name="Neutral" xfId="5" builtinId="28"/>
    <cellStyle name="Normal" xfId="0" builtinId="0"/>
  </cellStyles>
  <dxfs count="0"/>
  <tableStyles count="0" defaultTableStyle="TableStyleMedium9" defaultPivotStyle="PivotStyleLight16"/>
  <colors>
    <mruColors>
      <color rgb="FF85A2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8A22EA7-08D7-4042-8810-D1D08E87A741}" type="doc">
      <dgm:prSet loTypeId="urn:microsoft.com/office/officeart/2005/8/layout/hProcess3" loCatId="process" qsTypeId="urn:microsoft.com/office/officeart/2005/8/quickstyle/simple1" qsCatId="simple" csTypeId="urn:microsoft.com/office/officeart/2005/8/colors/accent1_2" csCatId="accent1" phldr="1"/>
      <dgm:spPr/>
    </dgm:pt>
    <dgm:pt modelId="{A8833365-5726-45B9-8151-941B7E1ED6E6}">
      <dgm:prSet phldrT="[Text]" phldr="1"/>
      <dgm:spPr>
        <a:solidFill>
          <a:srgbClr val="002060"/>
        </a:solidFill>
      </dgm:spPr>
      <dgm:t>
        <a:bodyPr/>
        <a:lstStyle/>
        <a:p>
          <a:endParaRPr lang="en-US"/>
        </a:p>
      </dgm:t>
    </dgm:pt>
    <dgm:pt modelId="{A4D352D0-C99D-4DFD-AAC2-C8E01DBE1FB6}" type="parTrans" cxnId="{CB5DBFB0-76A7-4A5A-AA76-A97935A54AD5}">
      <dgm:prSet/>
      <dgm:spPr/>
      <dgm:t>
        <a:bodyPr/>
        <a:lstStyle/>
        <a:p>
          <a:endParaRPr lang="en-US"/>
        </a:p>
      </dgm:t>
    </dgm:pt>
    <dgm:pt modelId="{305473E6-FE2C-4F2D-BB27-54A5918D8D77}" type="sibTrans" cxnId="{CB5DBFB0-76A7-4A5A-AA76-A97935A54AD5}">
      <dgm:prSet/>
      <dgm:spPr/>
      <dgm:t>
        <a:bodyPr/>
        <a:lstStyle/>
        <a:p>
          <a:endParaRPr lang="en-US"/>
        </a:p>
      </dgm:t>
    </dgm:pt>
    <dgm:pt modelId="{1E82ABD7-0464-4BB8-AD6B-7C951A670AF4}">
      <dgm:prSet phldrT="[Text]" phldr="1"/>
      <dgm:spPr>
        <a:solidFill>
          <a:srgbClr val="FF0000"/>
        </a:solidFill>
      </dgm:spPr>
      <dgm:t>
        <a:bodyPr/>
        <a:lstStyle/>
        <a:p>
          <a:endParaRPr lang="en-US">
            <a:solidFill>
              <a:srgbClr val="FF0000"/>
            </a:solidFill>
          </a:endParaRPr>
        </a:p>
      </dgm:t>
    </dgm:pt>
    <dgm:pt modelId="{7A0E7953-72FC-4116-B93E-DF32DD51E1C5}" type="parTrans" cxnId="{3B29AEF7-79AA-4E4D-A13D-453A1CEF6914}">
      <dgm:prSet/>
      <dgm:spPr/>
      <dgm:t>
        <a:bodyPr/>
        <a:lstStyle/>
        <a:p>
          <a:endParaRPr lang="en-US"/>
        </a:p>
      </dgm:t>
    </dgm:pt>
    <dgm:pt modelId="{25E2A40C-294D-4B9A-B663-754F2DFB79F3}" type="sibTrans" cxnId="{3B29AEF7-79AA-4E4D-A13D-453A1CEF6914}">
      <dgm:prSet/>
      <dgm:spPr/>
      <dgm:t>
        <a:bodyPr/>
        <a:lstStyle/>
        <a:p>
          <a:endParaRPr lang="en-US"/>
        </a:p>
      </dgm:t>
    </dgm:pt>
    <dgm:pt modelId="{E9ADB1A5-7FC4-4E96-AD26-ECDD8C2B50A1}">
      <dgm:prSet phldrT="[Text]" phldr="1"/>
      <dgm:spPr/>
      <dgm:t>
        <a:bodyPr/>
        <a:lstStyle/>
        <a:p>
          <a:endParaRPr lang="en-US"/>
        </a:p>
      </dgm:t>
    </dgm:pt>
    <dgm:pt modelId="{9F9DCE45-E147-4B23-994F-C652DD0051D5}" type="parTrans" cxnId="{65F5D176-41EF-44BE-BC8F-5993719EC808}">
      <dgm:prSet/>
      <dgm:spPr/>
      <dgm:t>
        <a:bodyPr/>
        <a:lstStyle/>
        <a:p>
          <a:endParaRPr lang="en-US"/>
        </a:p>
      </dgm:t>
    </dgm:pt>
    <dgm:pt modelId="{C739C076-3E32-4500-9D3D-E5EB6700C72D}" type="sibTrans" cxnId="{65F5D176-41EF-44BE-BC8F-5993719EC808}">
      <dgm:prSet/>
      <dgm:spPr/>
      <dgm:t>
        <a:bodyPr/>
        <a:lstStyle/>
        <a:p>
          <a:endParaRPr lang="en-US"/>
        </a:p>
      </dgm:t>
    </dgm:pt>
    <dgm:pt modelId="{004E7E98-E8CF-4D13-8A7B-5A07BD55E1BE}" type="pres">
      <dgm:prSet presAssocID="{A8A22EA7-08D7-4042-8810-D1D08E87A741}" presName="Name0" presStyleCnt="0">
        <dgm:presLayoutVars>
          <dgm:dir/>
          <dgm:animLvl val="lvl"/>
          <dgm:resizeHandles val="exact"/>
        </dgm:presLayoutVars>
      </dgm:prSet>
      <dgm:spPr/>
    </dgm:pt>
    <dgm:pt modelId="{C7F3E0E7-A0A4-47D6-957B-2044753FDBB0}" type="pres">
      <dgm:prSet presAssocID="{A8A22EA7-08D7-4042-8810-D1D08E87A741}" presName="dummy" presStyleCnt="0"/>
      <dgm:spPr/>
    </dgm:pt>
    <dgm:pt modelId="{9BE4329C-1E89-427E-A26C-FCEB0FCEA4AF}" type="pres">
      <dgm:prSet presAssocID="{A8A22EA7-08D7-4042-8810-D1D08E87A741}" presName="linH" presStyleCnt="0"/>
      <dgm:spPr/>
    </dgm:pt>
    <dgm:pt modelId="{42BA1027-E762-4FD8-80AD-1F7630A5BCD8}" type="pres">
      <dgm:prSet presAssocID="{A8A22EA7-08D7-4042-8810-D1D08E87A741}" presName="padding1" presStyleCnt="0"/>
      <dgm:spPr/>
    </dgm:pt>
    <dgm:pt modelId="{E51658DC-CCEF-4B9A-B577-B06EFA15B827}" type="pres">
      <dgm:prSet presAssocID="{A8833365-5726-45B9-8151-941B7E1ED6E6}" presName="linV" presStyleCnt="0"/>
      <dgm:spPr/>
    </dgm:pt>
    <dgm:pt modelId="{C9F06181-F29C-481F-B5AF-9FF14722CE00}" type="pres">
      <dgm:prSet presAssocID="{A8833365-5726-45B9-8151-941B7E1ED6E6}" presName="spVertical1" presStyleCnt="0"/>
      <dgm:spPr/>
    </dgm:pt>
    <dgm:pt modelId="{21122418-647A-4B1A-9E0A-46429CC7FF53}" type="pres">
      <dgm:prSet presAssocID="{A8833365-5726-45B9-8151-941B7E1ED6E6}" presName="parTx" presStyleLbl="revTx" presStyleIdx="0" presStyleCnt="3">
        <dgm:presLayoutVars>
          <dgm:chMax val="0"/>
          <dgm:chPref val="0"/>
          <dgm:bulletEnabled val="1"/>
        </dgm:presLayoutVars>
      </dgm:prSet>
      <dgm:spPr/>
      <dgm:t>
        <a:bodyPr/>
        <a:lstStyle/>
        <a:p>
          <a:endParaRPr lang="en-US"/>
        </a:p>
      </dgm:t>
    </dgm:pt>
    <dgm:pt modelId="{2A8FBDD0-3B09-4813-8957-03A04165FDBA}" type="pres">
      <dgm:prSet presAssocID="{A8833365-5726-45B9-8151-941B7E1ED6E6}" presName="spVertical2" presStyleCnt="0"/>
      <dgm:spPr/>
    </dgm:pt>
    <dgm:pt modelId="{89D8E197-42AB-4823-999F-07E84980C14F}" type="pres">
      <dgm:prSet presAssocID="{A8833365-5726-45B9-8151-941B7E1ED6E6}" presName="spVertical3" presStyleCnt="0"/>
      <dgm:spPr/>
    </dgm:pt>
    <dgm:pt modelId="{A23238D9-770B-4D04-999B-121CC47B3CAB}" type="pres">
      <dgm:prSet presAssocID="{305473E6-FE2C-4F2D-BB27-54A5918D8D77}" presName="space" presStyleCnt="0"/>
      <dgm:spPr/>
    </dgm:pt>
    <dgm:pt modelId="{339E4399-6642-431C-B20B-9A66C7FF186D}" type="pres">
      <dgm:prSet presAssocID="{1E82ABD7-0464-4BB8-AD6B-7C951A670AF4}" presName="linV" presStyleCnt="0"/>
      <dgm:spPr/>
    </dgm:pt>
    <dgm:pt modelId="{A0B7A0E7-B6A7-40F8-A838-EE1723A24C24}" type="pres">
      <dgm:prSet presAssocID="{1E82ABD7-0464-4BB8-AD6B-7C951A670AF4}" presName="spVertical1" presStyleCnt="0"/>
      <dgm:spPr/>
    </dgm:pt>
    <dgm:pt modelId="{BD687D5E-6CDF-4ED3-AC3F-4568DD0A2125}" type="pres">
      <dgm:prSet presAssocID="{1E82ABD7-0464-4BB8-AD6B-7C951A670AF4}" presName="parTx" presStyleLbl="revTx" presStyleIdx="1" presStyleCnt="3">
        <dgm:presLayoutVars>
          <dgm:chMax val="0"/>
          <dgm:chPref val="0"/>
          <dgm:bulletEnabled val="1"/>
        </dgm:presLayoutVars>
      </dgm:prSet>
      <dgm:spPr/>
      <dgm:t>
        <a:bodyPr/>
        <a:lstStyle/>
        <a:p>
          <a:endParaRPr lang="en-US"/>
        </a:p>
      </dgm:t>
    </dgm:pt>
    <dgm:pt modelId="{B1C730CF-448C-40F8-942B-12F3AC507BAE}" type="pres">
      <dgm:prSet presAssocID="{1E82ABD7-0464-4BB8-AD6B-7C951A670AF4}" presName="spVertical2" presStyleCnt="0"/>
      <dgm:spPr/>
    </dgm:pt>
    <dgm:pt modelId="{AB4999A7-64F3-4934-ACDA-092E5AA1A1A0}" type="pres">
      <dgm:prSet presAssocID="{1E82ABD7-0464-4BB8-AD6B-7C951A670AF4}" presName="spVertical3" presStyleCnt="0"/>
      <dgm:spPr/>
    </dgm:pt>
    <dgm:pt modelId="{F23FFDB0-7BC5-400A-9FDC-1BD23C5332BD}" type="pres">
      <dgm:prSet presAssocID="{25E2A40C-294D-4B9A-B663-754F2DFB79F3}" presName="space" presStyleCnt="0"/>
      <dgm:spPr/>
    </dgm:pt>
    <dgm:pt modelId="{5E14133B-F412-463E-A2D3-E9CC01B9ED37}" type="pres">
      <dgm:prSet presAssocID="{E9ADB1A5-7FC4-4E96-AD26-ECDD8C2B50A1}" presName="linV" presStyleCnt="0"/>
      <dgm:spPr/>
    </dgm:pt>
    <dgm:pt modelId="{7BC2583F-1B92-4477-9769-4603BD96219D}" type="pres">
      <dgm:prSet presAssocID="{E9ADB1A5-7FC4-4E96-AD26-ECDD8C2B50A1}" presName="spVertical1" presStyleCnt="0"/>
      <dgm:spPr/>
    </dgm:pt>
    <dgm:pt modelId="{05039C4E-9BA5-4A0E-9EBA-657D694E5B13}" type="pres">
      <dgm:prSet presAssocID="{E9ADB1A5-7FC4-4E96-AD26-ECDD8C2B50A1}" presName="parTx" presStyleLbl="revTx" presStyleIdx="2" presStyleCnt="3">
        <dgm:presLayoutVars>
          <dgm:chMax val="0"/>
          <dgm:chPref val="0"/>
          <dgm:bulletEnabled val="1"/>
        </dgm:presLayoutVars>
      </dgm:prSet>
      <dgm:spPr/>
      <dgm:t>
        <a:bodyPr/>
        <a:lstStyle/>
        <a:p>
          <a:endParaRPr lang="en-US"/>
        </a:p>
      </dgm:t>
    </dgm:pt>
    <dgm:pt modelId="{F9B16007-45C2-4687-A70D-22A39736741F}" type="pres">
      <dgm:prSet presAssocID="{E9ADB1A5-7FC4-4E96-AD26-ECDD8C2B50A1}" presName="spVertical2" presStyleCnt="0"/>
      <dgm:spPr/>
    </dgm:pt>
    <dgm:pt modelId="{ADB844B0-3B5E-4AED-85A8-CEB4349D1FAA}" type="pres">
      <dgm:prSet presAssocID="{E9ADB1A5-7FC4-4E96-AD26-ECDD8C2B50A1}" presName="spVertical3" presStyleCnt="0"/>
      <dgm:spPr/>
    </dgm:pt>
    <dgm:pt modelId="{5C8CCC67-D537-4446-869C-411C42884C9A}" type="pres">
      <dgm:prSet presAssocID="{A8A22EA7-08D7-4042-8810-D1D08E87A741}" presName="padding2" presStyleCnt="0"/>
      <dgm:spPr/>
    </dgm:pt>
    <dgm:pt modelId="{A4DD5FAB-A7CD-4CA5-B7DC-05B704FE7F33}" type="pres">
      <dgm:prSet presAssocID="{A8A22EA7-08D7-4042-8810-D1D08E87A741}" presName="negArrow" presStyleCnt="0"/>
      <dgm:spPr/>
    </dgm:pt>
    <dgm:pt modelId="{2FC31EE9-37D4-423A-BE0B-656B656A1C24}" type="pres">
      <dgm:prSet presAssocID="{A8A22EA7-08D7-4042-8810-D1D08E87A741}" presName="backgroundArrow" presStyleLbl="node1" presStyleIdx="0" presStyleCnt="1"/>
      <dgm:spPr/>
    </dgm:pt>
  </dgm:ptLst>
  <dgm:cxnLst>
    <dgm:cxn modelId="{38A550B0-C712-4C09-9172-1038984080F5}" type="presOf" srcId="{A8833365-5726-45B9-8151-941B7E1ED6E6}" destId="{21122418-647A-4B1A-9E0A-46429CC7FF53}" srcOrd="0" destOrd="0" presId="urn:microsoft.com/office/officeart/2005/8/layout/hProcess3"/>
    <dgm:cxn modelId="{544822DF-0296-4CBC-917A-BAD9138769B0}" type="presOf" srcId="{A8A22EA7-08D7-4042-8810-D1D08E87A741}" destId="{004E7E98-E8CF-4D13-8A7B-5A07BD55E1BE}" srcOrd="0" destOrd="0" presId="urn:microsoft.com/office/officeart/2005/8/layout/hProcess3"/>
    <dgm:cxn modelId="{3B29AEF7-79AA-4E4D-A13D-453A1CEF6914}" srcId="{A8A22EA7-08D7-4042-8810-D1D08E87A741}" destId="{1E82ABD7-0464-4BB8-AD6B-7C951A670AF4}" srcOrd="1" destOrd="0" parTransId="{7A0E7953-72FC-4116-B93E-DF32DD51E1C5}" sibTransId="{25E2A40C-294D-4B9A-B663-754F2DFB79F3}"/>
    <dgm:cxn modelId="{CFD37C7D-1FE0-47D7-BB8A-8EE11B363630}" type="presOf" srcId="{E9ADB1A5-7FC4-4E96-AD26-ECDD8C2B50A1}" destId="{05039C4E-9BA5-4A0E-9EBA-657D694E5B13}" srcOrd="0" destOrd="0" presId="urn:microsoft.com/office/officeart/2005/8/layout/hProcess3"/>
    <dgm:cxn modelId="{65F5D176-41EF-44BE-BC8F-5993719EC808}" srcId="{A8A22EA7-08D7-4042-8810-D1D08E87A741}" destId="{E9ADB1A5-7FC4-4E96-AD26-ECDD8C2B50A1}" srcOrd="2" destOrd="0" parTransId="{9F9DCE45-E147-4B23-994F-C652DD0051D5}" sibTransId="{C739C076-3E32-4500-9D3D-E5EB6700C72D}"/>
    <dgm:cxn modelId="{F76FC5C1-3FEC-4348-A948-BBF0E298B848}" type="presOf" srcId="{1E82ABD7-0464-4BB8-AD6B-7C951A670AF4}" destId="{BD687D5E-6CDF-4ED3-AC3F-4568DD0A2125}" srcOrd="0" destOrd="0" presId="urn:microsoft.com/office/officeart/2005/8/layout/hProcess3"/>
    <dgm:cxn modelId="{CB5DBFB0-76A7-4A5A-AA76-A97935A54AD5}" srcId="{A8A22EA7-08D7-4042-8810-D1D08E87A741}" destId="{A8833365-5726-45B9-8151-941B7E1ED6E6}" srcOrd="0" destOrd="0" parTransId="{A4D352D0-C99D-4DFD-AAC2-C8E01DBE1FB6}" sibTransId="{305473E6-FE2C-4F2D-BB27-54A5918D8D77}"/>
    <dgm:cxn modelId="{26A8512A-4E1F-4E3F-8DC6-F919069B013C}" type="presParOf" srcId="{004E7E98-E8CF-4D13-8A7B-5A07BD55E1BE}" destId="{C7F3E0E7-A0A4-47D6-957B-2044753FDBB0}" srcOrd="0" destOrd="0" presId="urn:microsoft.com/office/officeart/2005/8/layout/hProcess3"/>
    <dgm:cxn modelId="{2E0F8A40-E70E-457B-ABFA-BCF33BD14A1F}" type="presParOf" srcId="{004E7E98-E8CF-4D13-8A7B-5A07BD55E1BE}" destId="{9BE4329C-1E89-427E-A26C-FCEB0FCEA4AF}" srcOrd="1" destOrd="0" presId="urn:microsoft.com/office/officeart/2005/8/layout/hProcess3"/>
    <dgm:cxn modelId="{9F4CD36D-DA8D-45A1-87C5-DE9783B7D6B8}" type="presParOf" srcId="{9BE4329C-1E89-427E-A26C-FCEB0FCEA4AF}" destId="{42BA1027-E762-4FD8-80AD-1F7630A5BCD8}" srcOrd="0" destOrd="0" presId="urn:microsoft.com/office/officeart/2005/8/layout/hProcess3"/>
    <dgm:cxn modelId="{2F0531DE-8B43-49CF-9B32-E8D00FAE248D}" type="presParOf" srcId="{9BE4329C-1E89-427E-A26C-FCEB0FCEA4AF}" destId="{E51658DC-CCEF-4B9A-B577-B06EFA15B827}" srcOrd="1" destOrd="0" presId="urn:microsoft.com/office/officeart/2005/8/layout/hProcess3"/>
    <dgm:cxn modelId="{C5B73F1D-861F-44EA-B30B-A256859FF790}" type="presParOf" srcId="{E51658DC-CCEF-4B9A-B577-B06EFA15B827}" destId="{C9F06181-F29C-481F-B5AF-9FF14722CE00}" srcOrd="0" destOrd="0" presId="urn:microsoft.com/office/officeart/2005/8/layout/hProcess3"/>
    <dgm:cxn modelId="{CBD4C4C7-0DDF-4AEA-9742-4BB49462E44E}" type="presParOf" srcId="{E51658DC-CCEF-4B9A-B577-B06EFA15B827}" destId="{21122418-647A-4B1A-9E0A-46429CC7FF53}" srcOrd="1" destOrd="0" presId="urn:microsoft.com/office/officeart/2005/8/layout/hProcess3"/>
    <dgm:cxn modelId="{61C38871-2AD1-4AFF-9018-4DAE9B4FAD60}" type="presParOf" srcId="{E51658DC-CCEF-4B9A-B577-B06EFA15B827}" destId="{2A8FBDD0-3B09-4813-8957-03A04165FDBA}" srcOrd="2" destOrd="0" presId="urn:microsoft.com/office/officeart/2005/8/layout/hProcess3"/>
    <dgm:cxn modelId="{A168F16E-DF27-48DB-991C-9718236FDA10}" type="presParOf" srcId="{E51658DC-CCEF-4B9A-B577-B06EFA15B827}" destId="{89D8E197-42AB-4823-999F-07E84980C14F}" srcOrd="3" destOrd="0" presId="urn:microsoft.com/office/officeart/2005/8/layout/hProcess3"/>
    <dgm:cxn modelId="{65CC481A-60CD-4FC0-9D88-DA22FF828BA0}" type="presParOf" srcId="{9BE4329C-1E89-427E-A26C-FCEB0FCEA4AF}" destId="{A23238D9-770B-4D04-999B-121CC47B3CAB}" srcOrd="2" destOrd="0" presId="urn:microsoft.com/office/officeart/2005/8/layout/hProcess3"/>
    <dgm:cxn modelId="{28511B76-83DF-44CB-825D-E8AFECB0B923}" type="presParOf" srcId="{9BE4329C-1E89-427E-A26C-FCEB0FCEA4AF}" destId="{339E4399-6642-431C-B20B-9A66C7FF186D}" srcOrd="3" destOrd="0" presId="urn:microsoft.com/office/officeart/2005/8/layout/hProcess3"/>
    <dgm:cxn modelId="{A6E5758F-2CFA-4844-85B3-8BEFA4A975D1}" type="presParOf" srcId="{339E4399-6642-431C-B20B-9A66C7FF186D}" destId="{A0B7A0E7-B6A7-40F8-A838-EE1723A24C24}" srcOrd="0" destOrd="0" presId="urn:microsoft.com/office/officeart/2005/8/layout/hProcess3"/>
    <dgm:cxn modelId="{7C9CE2D7-AD03-4D6A-9C3A-CC1C69CD6E2A}" type="presParOf" srcId="{339E4399-6642-431C-B20B-9A66C7FF186D}" destId="{BD687D5E-6CDF-4ED3-AC3F-4568DD0A2125}" srcOrd="1" destOrd="0" presId="urn:microsoft.com/office/officeart/2005/8/layout/hProcess3"/>
    <dgm:cxn modelId="{BCE11E16-F09E-4773-9BC2-B656273C631E}" type="presParOf" srcId="{339E4399-6642-431C-B20B-9A66C7FF186D}" destId="{B1C730CF-448C-40F8-942B-12F3AC507BAE}" srcOrd="2" destOrd="0" presId="urn:microsoft.com/office/officeart/2005/8/layout/hProcess3"/>
    <dgm:cxn modelId="{86B6A706-7521-4370-A8C5-8D6F66120B7A}" type="presParOf" srcId="{339E4399-6642-431C-B20B-9A66C7FF186D}" destId="{AB4999A7-64F3-4934-ACDA-092E5AA1A1A0}" srcOrd="3" destOrd="0" presId="urn:microsoft.com/office/officeart/2005/8/layout/hProcess3"/>
    <dgm:cxn modelId="{720D119E-A407-4855-B6D8-D569252759D1}" type="presParOf" srcId="{9BE4329C-1E89-427E-A26C-FCEB0FCEA4AF}" destId="{F23FFDB0-7BC5-400A-9FDC-1BD23C5332BD}" srcOrd="4" destOrd="0" presId="urn:microsoft.com/office/officeart/2005/8/layout/hProcess3"/>
    <dgm:cxn modelId="{7E7BDB41-A283-43B7-B634-C8FDBB11F5B6}" type="presParOf" srcId="{9BE4329C-1E89-427E-A26C-FCEB0FCEA4AF}" destId="{5E14133B-F412-463E-A2D3-E9CC01B9ED37}" srcOrd="5" destOrd="0" presId="urn:microsoft.com/office/officeart/2005/8/layout/hProcess3"/>
    <dgm:cxn modelId="{E282D86B-C6C6-4880-B1B4-B99D3676C10A}" type="presParOf" srcId="{5E14133B-F412-463E-A2D3-E9CC01B9ED37}" destId="{7BC2583F-1B92-4477-9769-4603BD96219D}" srcOrd="0" destOrd="0" presId="urn:microsoft.com/office/officeart/2005/8/layout/hProcess3"/>
    <dgm:cxn modelId="{21B2EC14-A35E-4EF3-B09F-E4F3FB7AC641}" type="presParOf" srcId="{5E14133B-F412-463E-A2D3-E9CC01B9ED37}" destId="{05039C4E-9BA5-4A0E-9EBA-657D694E5B13}" srcOrd="1" destOrd="0" presId="urn:microsoft.com/office/officeart/2005/8/layout/hProcess3"/>
    <dgm:cxn modelId="{92609505-1233-4496-85A5-693810E6E10F}" type="presParOf" srcId="{5E14133B-F412-463E-A2D3-E9CC01B9ED37}" destId="{F9B16007-45C2-4687-A70D-22A39736741F}" srcOrd="2" destOrd="0" presId="urn:microsoft.com/office/officeart/2005/8/layout/hProcess3"/>
    <dgm:cxn modelId="{A5DFC06F-5D5E-40E9-91A3-7BCE80CDD365}" type="presParOf" srcId="{5E14133B-F412-463E-A2D3-E9CC01B9ED37}" destId="{ADB844B0-3B5E-4AED-85A8-CEB4349D1FAA}" srcOrd="3" destOrd="0" presId="urn:microsoft.com/office/officeart/2005/8/layout/hProcess3"/>
    <dgm:cxn modelId="{E0140C82-502E-4102-A298-A41DF5555F46}" type="presParOf" srcId="{9BE4329C-1E89-427E-A26C-FCEB0FCEA4AF}" destId="{5C8CCC67-D537-4446-869C-411C42884C9A}" srcOrd="6" destOrd="0" presId="urn:microsoft.com/office/officeart/2005/8/layout/hProcess3"/>
    <dgm:cxn modelId="{C5A4E3D0-F815-4BE3-AE42-A1577B7ADF40}" type="presParOf" srcId="{9BE4329C-1E89-427E-A26C-FCEB0FCEA4AF}" destId="{A4DD5FAB-A7CD-4CA5-B7DC-05B704FE7F33}" srcOrd="7" destOrd="0" presId="urn:microsoft.com/office/officeart/2005/8/layout/hProcess3"/>
    <dgm:cxn modelId="{E31E7736-792D-4A41-A3DF-C0406E4EFB7E}" type="presParOf" srcId="{9BE4329C-1E89-427E-A26C-FCEB0FCEA4AF}" destId="{2FC31EE9-37D4-423A-BE0B-656B656A1C24}" srcOrd="8" destOrd="0" presId="urn:microsoft.com/office/officeart/2005/8/layout/hProcess3"/>
  </dgm:cxnLst>
  <dgm:bg/>
  <dgm:whole/>
  <dgm:extLst>
    <a:ext uri="http://schemas.microsoft.com/office/drawing/2008/diagram">
      <dsp:dataModelExt xmlns="" xmlns:dsp="http://schemas.microsoft.com/office/drawing/2008/diagram" relId="rId6"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openxmlformats.org/officeDocument/2006/relationships/image" Target="../media/image2.jpeg"/><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19436</xdr:colOff>
      <xdr:row>21</xdr:row>
      <xdr:rowOff>77749</xdr:rowOff>
    </xdr:to>
    <xdr:pic>
      <xdr:nvPicPr>
        <xdr:cNvPr id="4" name="Picture 3" descr="scan0001.jpg"/>
        <xdr:cNvPicPr>
          <a:picLocks noChangeAspect="1"/>
        </xdr:cNvPicPr>
      </xdr:nvPicPr>
      <xdr:blipFill>
        <a:blip xmlns:r="http://schemas.openxmlformats.org/officeDocument/2006/relationships" r:embed="rId1" cstate="print"/>
        <a:stretch>
          <a:fillRect/>
        </a:stretch>
      </xdr:blipFill>
      <xdr:spPr>
        <a:xfrm>
          <a:off x="0" y="3693367"/>
          <a:ext cx="1244079" cy="1564816"/>
        </a:xfrm>
        <a:prstGeom prst="rect">
          <a:avLst/>
        </a:prstGeom>
        <a:ln>
          <a:noFill/>
        </a:ln>
        <a:effectLst>
          <a:outerShdw blurRad="190500" algn="tl" rotWithShape="0">
            <a:srgbClr val="000000">
              <a:alpha val="70000"/>
            </a:srgbClr>
          </a:outerShdw>
        </a:effectLst>
      </xdr:spPr>
    </xdr:pic>
    <xdr:clientData/>
  </xdr:twoCellAnchor>
  <xdr:twoCellAnchor>
    <xdr:from>
      <xdr:col>9</xdr:col>
      <xdr:colOff>19051</xdr:colOff>
      <xdr:row>9</xdr:row>
      <xdr:rowOff>142874</xdr:rowOff>
    </xdr:from>
    <xdr:to>
      <xdr:col>9</xdr:col>
      <xdr:colOff>581025</xdr:colOff>
      <xdr:row>11</xdr:row>
      <xdr:rowOff>104775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0</xdr:col>
      <xdr:colOff>19438</xdr:colOff>
      <xdr:row>21</xdr:row>
      <xdr:rowOff>106913</xdr:rowOff>
    </xdr:from>
    <xdr:to>
      <xdr:col>2</xdr:col>
      <xdr:colOff>9717</xdr:colOff>
      <xdr:row>26</xdr:row>
      <xdr:rowOff>19436</xdr:rowOff>
    </xdr:to>
    <xdr:pic>
      <xdr:nvPicPr>
        <xdr:cNvPr id="5" name="Picture 4" descr="deep ji.jpg"/>
        <xdr:cNvPicPr>
          <a:picLocks noChangeAspect="1"/>
        </xdr:cNvPicPr>
      </xdr:nvPicPr>
      <xdr:blipFill>
        <a:blip xmlns:r="http://schemas.openxmlformats.org/officeDocument/2006/relationships" r:embed="rId6" cstate="print"/>
        <a:stretch>
          <a:fillRect/>
        </a:stretch>
      </xdr:blipFill>
      <xdr:spPr>
        <a:xfrm>
          <a:off x="19438" y="5287347"/>
          <a:ext cx="1214922" cy="1370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DO"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Tax Master"/>
      <sheetName val="Rules"/>
      <sheetName val="DDO "/>
      <sheetName val="Emp.-Detail"/>
      <sheetName val="Emp-1"/>
      <sheetName val="Emp-2"/>
      <sheetName val="Emp-3"/>
      <sheetName val="Emp-4"/>
      <sheetName val="Emp-5"/>
      <sheetName val="Emp-6"/>
      <sheetName val="Emp-7"/>
      <sheetName val="Emp-8"/>
      <sheetName val="Emp-9"/>
      <sheetName val="Emp-10"/>
      <sheetName val="Emp-11"/>
      <sheetName val="Emp-12"/>
      <sheetName val="Emp-13"/>
      <sheetName val="Emp-14"/>
      <sheetName val="Emp-15"/>
      <sheetName val="Emp-16"/>
      <sheetName val="Emp-17"/>
      <sheetName val="Emp-18"/>
      <sheetName val="Emp-19"/>
      <sheetName val="Emp-20"/>
      <sheetName val="Q-I"/>
      <sheetName val="Q-II"/>
      <sheetName val="Q-III"/>
      <sheetName val="Q-IV"/>
      <sheetName val="ALL-Q"/>
    </sheetNames>
    <sheetDataSet>
      <sheetData sheetId="0"/>
      <sheetData sheetId="1"/>
      <sheetData sheetId="2">
        <row r="5">
          <cell r="G5" t="str">
            <v>vk;dj x.kuk i= ys[kk o"kZ 2016&amp;2017 dj fu/kkZj.k o"kZ 2017&amp;2018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W29"/>
  <sheetViews>
    <sheetView showGridLines="0" topLeftCell="D4" zoomScale="98" zoomScaleNormal="98" workbookViewId="0">
      <selection activeCell="E9" sqref="E9"/>
    </sheetView>
  </sheetViews>
  <sheetFormatPr defaultColWidth="0" defaultRowHeight="14.25" zeroHeight="1"/>
  <cols>
    <col min="1" max="2" width="9.140625" style="113" customWidth="1"/>
    <col min="3" max="3" width="5" style="113" customWidth="1"/>
    <col min="4" max="4" width="29.42578125" style="113" customWidth="1"/>
    <col min="5" max="5" width="8.28515625" style="113" customWidth="1"/>
    <col min="6" max="6" width="8.7109375" style="113" customWidth="1"/>
    <col min="7" max="8" width="8.5703125" style="113" customWidth="1"/>
    <col min="9" max="9" width="10.5703125" style="113" customWidth="1"/>
    <col min="10" max="21" width="9.140625" style="113" customWidth="1"/>
    <col min="22" max="22" width="4" style="335" customWidth="1"/>
    <col min="23" max="23" width="0" style="113" hidden="1" customWidth="1"/>
    <col min="24" max="16384" width="9.140625" style="113" hidden="1"/>
  </cols>
  <sheetData>
    <row r="1" spans="1:23" ht="15" thickBot="1">
      <c r="A1" s="235"/>
      <c r="B1" s="235"/>
      <c r="C1" s="235"/>
      <c r="D1" s="235"/>
      <c r="E1" s="235"/>
      <c r="F1" s="235"/>
      <c r="G1" s="235"/>
      <c r="H1" s="235"/>
      <c r="I1" s="235"/>
      <c r="J1" s="235"/>
      <c r="K1" s="235"/>
      <c r="L1" s="235"/>
      <c r="M1" s="235"/>
      <c r="N1" s="235"/>
      <c r="O1" s="235"/>
      <c r="P1" s="235"/>
      <c r="Q1" s="235"/>
      <c r="R1" s="235"/>
      <c r="S1" s="235"/>
      <c r="T1" s="235"/>
      <c r="U1" s="235"/>
      <c r="V1" s="323"/>
    </row>
    <row r="2" spans="1:23" ht="14.25" customHeight="1" thickBot="1">
      <c r="A2" s="327"/>
      <c r="B2" s="135"/>
      <c r="C2" s="341" t="s">
        <v>394</v>
      </c>
      <c r="D2" s="342"/>
      <c r="E2" s="342"/>
      <c r="F2" s="342"/>
      <c r="G2" s="342"/>
      <c r="H2" s="342"/>
      <c r="I2" s="343"/>
      <c r="J2" s="414"/>
      <c r="K2" s="421" t="str">
        <f>'[1]DDO '!G5</f>
        <v>vk;dj x.kuk i= ys[kk o"kZ 2016&amp;2017 dj fu/kkZj.k o"kZ 2017&amp;2018</v>
      </c>
      <c r="L2" s="422"/>
      <c r="M2" s="422"/>
      <c r="N2" s="422"/>
      <c r="O2" s="422"/>
      <c r="P2" s="422"/>
      <c r="Q2" s="422"/>
      <c r="R2" s="422"/>
      <c r="S2" s="422"/>
      <c r="T2" s="422"/>
      <c r="U2" s="423"/>
      <c r="V2" s="323"/>
    </row>
    <row r="3" spans="1:23" ht="14.25" customHeight="1">
      <c r="A3" s="249"/>
      <c r="B3" s="138"/>
      <c r="C3" s="344"/>
      <c r="D3" s="345"/>
      <c r="E3" s="345"/>
      <c r="F3" s="345"/>
      <c r="G3" s="345"/>
      <c r="H3" s="345"/>
      <c r="I3" s="346"/>
      <c r="J3" s="414"/>
      <c r="K3" s="415" t="s">
        <v>416</v>
      </c>
      <c r="L3" s="416"/>
      <c r="M3" s="416"/>
      <c r="N3" s="416"/>
      <c r="O3" s="416"/>
      <c r="P3" s="416"/>
      <c r="Q3" s="416"/>
      <c r="R3" s="416"/>
      <c r="S3" s="416"/>
      <c r="T3" s="416"/>
      <c r="U3" s="417"/>
      <c r="V3" s="323"/>
      <c r="W3" s="114"/>
    </row>
    <row r="4" spans="1:23" ht="20.100000000000001" customHeight="1" thickBot="1">
      <c r="A4" s="249"/>
      <c r="B4" s="138"/>
      <c r="C4" s="368"/>
      <c r="D4" s="347"/>
      <c r="E4" s="336"/>
      <c r="F4" s="139"/>
      <c r="G4" s="347"/>
      <c r="H4" s="347"/>
      <c r="I4" s="348"/>
      <c r="J4" s="414"/>
      <c r="K4" s="418"/>
      <c r="L4" s="419"/>
      <c r="M4" s="419"/>
      <c r="N4" s="419"/>
      <c r="O4" s="419"/>
      <c r="P4" s="419"/>
      <c r="Q4" s="419"/>
      <c r="R4" s="419"/>
      <c r="S4" s="419"/>
      <c r="T4" s="419"/>
      <c r="U4" s="420"/>
      <c r="V4" s="323"/>
      <c r="W4" s="114"/>
    </row>
    <row r="5" spans="1:23" ht="21.95" customHeight="1">
      <c r="A5" s="249"/>
      <c r="B5" s="138"/>
      <c r="C5" s="119" t="s">
        <v>404</v>
      </c>
      <c r="D5" s="120" t="s">
        <v>395</v>
      </c>
      <c r="E5" s="337">
        <v>1</v>
      </c>
      <c r="F5" s="133"/>
      <c r="G5" s="134"/>
      <c r="H5" s="134"/>
      <c r="I5" s="135"/>
      <c r="J5" s="414"/>
      <c r="K5" s="369" t="s">
        <v>417</v>
      </c>
      <c r="L5" s="370"/>
      <c r="M5" s="370"/>
      <c r="N5" s="370"/>
      <c r="O5" s="370"/>
      <c r="P5" s="370"/>
      <c r="Q5" s="370"/>
      <c r="R5" s="370"/>
      <c r="S5" s="370"/>
      <c r="T5" s="370"/>
      <c r="U5" s="371"/>
      <c r="V5" s="323"/>
      <c r="W5" s="114"/>
    </row>
    <row r="6" spans="1:23" ht="21.95" customHeight="1">
      <c r="A6" s="249"/>
      <c r="B6" s="138"/>
      <c r="C6" s="121" t="s">
        <v>405</v>
      </c>
      <c r="D6" s="122" t="s">
        <v>396</v>
      </c>
      <c r="E6" s="338">
        <v>2</v>
      </c>
      <c r="F6" s="136"/>
      <c r="G6" s="137"/>
      <c r="H6" s="137"/>
      <c r="I6" s="138"/>
      <c r="J6" s="414"/>
      <c r="K6" s="322">
        <v>1</v>
      </c>
      <c r="L6" s="361" t="s">
        <v>395</v>
      </c>
      <c r="M6" s="361"/>
      <c r="N6" s="426" t="s">
        <v>418</v>
      </c>
      <c r="O6" s="426"/>
      <c r="P6" s="426"/>
      <c r="Q6" s="426"/>
      <c r="R6" s="426"/>
      <c r="S6" s="426"/>
      <c r="T6" s="426"/>
      <c r="U6" s="427"/>
      <c r="V6" s="323"/>
      <c r="W6" s="114"/>
    </row>
    <row r="7" spans="1:23" ht="21.95" customHeight="1">
      <c r="A7" s="249"/>
      <c r="B7" s="138"/>
      <c r="C7" s="121" t="s">
        <v>406</v>
      </c>
      <c r="D7" s="122" t="s">
        <v>409</v>
      </c>
      <c r="E7" s="338">
        <v>3</v>
      </c>
      <c r="F7" s="136"/>
      <c r="G7" s="137"/>
      <c r="H7" s="137"/>
      <c r="I7" s="138"/>
      <c r="J7" s="414"/>
      <c r="K7" s="425">
        <v>2</v>
      </c>
      <c r="L7" s="424" t="s">
        <v>396</v>
      </c>
      <c r="M7" s="424"/>
      <c r="N7" s="428" t="s">
        <v>466</v>
      </c>
      <c r="O7" s="428"/>
      <c r="P7" s="428"/>
      <c r="Q7" s="428"/>
      <c r="R7" s="428"/>
      <c r="S7" s="428"/>
      <c r="T7" s="428"/>
      <c r="U7" s="429"/>
      <c r="V7" s="323"/>
      <c r="W7" s="114"/>
    </row>
    <row r="8" spans="1:23" ht="15" customHeight="1">
      <c r="A8" s="249"/>
      <c r="B8" s="138"/>
      <c r="C8" s="324"/>
      <c r="D8" s="325"/>
      <c r="E8" s="140"/>
      <c r="F8" s="140"/>
      <c r="G8" s="140"/>
      <c r="H8" s="140"/>
      <c r="I8" s="141"/>
      <c r="J8" s="149"/>
      <c r="K8" s="425"/>
      <c r="L8" s="424"/>
      <c r="M8" s="424"/>
      <c r="N8" s="428"/>
      <c r="O8" s="428"/>
      <c r="P8" s="428"/>
      <c r="Q8" s="428"/>
      <c r="R8" s="428"/>
      <c r="S8" s="428"/>
      <c r="T8" s="428"/>
      <c r="U8" s="429"/>
      <c r="V8" s="323"/>
      <c r="W8" s="114"/>
    </row>
    <row r="9" spans="1:23" ht="29.25" customHeight="1">
      <c r="A9" s="249"/>
      <c r="B9" s="138"/>
      <c r="C9" s="121" t="s">
        <v>407</v>
      </c>
      <c r="D9" s="123" t="s">
        <v>415</v>
      </c>
      <c r="E9" s="115">
        <f>'Emp.-Detail'!A9</f>
        <v>1</v>
      </c>
      <c r="F9" s="115">
        <f>'Emp.-Detail'!A10</f>
        <v>2</v>
      </c>
      <c r="G9" s="115">
        <f>'Emp.-Detail'!A11</f>
        <v>3</v>
      </c>
      <c r="H9" s="115">
        <f>'Emp.-Detail'!A12</f>
        <v>4</v>
      </c>
      <c r="I9" s="116">
        <f>'Emp.-Detail'!A13</f>
        <v>5</v>
      </c>
      <c r="J9" s="149"/>
      <c r="K9" s="425"/>
      <c r="L9" s="424"/>
      <c r="M9" s="424"/>
      <c r="N9" s="428"/>
      <c r="O9" s="428"/>
      <c r="P9" s="428"/>
      <c r="Q9" s="428"/>
      <c r="R9" s="428"/>
      <c r="S9" s="428"/>
      <c r="T9" s="428"/>
      <c r="U9" s="429"/>
      <c r="V9" s="323"/>
      <c r="W9" s="114"/>
    </row>
    <row r="10" spans="1:23" ht="21.95" customHeight="1">
      <c r="A10" s="249"/>
      <c r="B10" s="138"/>
      <c r="C10" s="142"/>
      <c r="D10" s="143"/>
      <c r="E10" s="115">
        <f>'Emp.-Detail'!A14</f>
        <v>6</v>
      </c>
      <c r="F10" s="115">
        <f>'Emp.-Detail'!A15</f>
        <v>7</v>
      </c>
      <c r="G10" s="115">
        <f>'Emp.-Detail'!A16</f>
        <v>8</v>
      </c>
      <c r="H10" s="115">
        <f>'Emp.-Detail'!A17</f>
        <v>9</v>
      </c>
      <c r="I10" s="116">
        <f>'Emp.-Detail'!A18</f>
        <v>10</v>
      </c>
      <c r="J10" s="149"/>
      <c r="K10" s="322">
        <v>3</v>
      </c>
      <c r="L10" s="432" t="s">
        <v>419</v>
      </c>
      <c r="M10" s="432"/>
      <c r="N10" s="433" t="s">
        <v>420</v>
      </c>
      <c r="O10" s="433"/>
      <c r="P10" s="433"/>
      <c r="Q10" s="433"/>
      <c r="R10" s="433"/>
      <c r="S10" s="433"/>
      <c r="T10" s="433"/>
      <c r="U10" s="434"/>
      <c r="V10" s="323"/>
      <c r="W10" s="114"/>
    </row>
    <row r="11" spans="1:23" ht="21.95" customHeight="1">
      <c r="A11" s="249"/>
      <c r="B11" s="138"/>
      <c r="C11" s="144"/>
      <c r="D11" s="145"/>
      <c r="E11" s="115">
        <f>'Emp.-Detail'!A19</f>
        <v>11</v>
      </c>
      <c r="F11" s="115">
        <f>'Emp.-Detail'!A20</f>
        <v>12</v>
      </c>
      <c r="G11" s="115">
        <f>'Emp.-Detail'!A21</f>
        <v>13</v>
      </c>
      <c r="H11" s="115">
        <f>'Emp.-Detail'!A22</f>
        <v>14</v>
      </c>
      <c r="I11" s="116">
        <f>'Emp.-Detail'!A23</f>
        <v>15</v>
      </c>
      <c r="J11" s="326"/>
      <c r="K11" s="372">
        <v>4</v>
      </c>
      <c r="L11" s="373" t="s">
        <v>415</v>
      </c>
      <c r="M11" s="373"/>
      <c r="N11" s="357" t="s">
        <v>427</v>
      </c>
      <c r="O11" s="357"/>
      <c r="P11" s="357"/>
      <c r="Q11" s="357"/>
      <c r="R11" s="357"/>
      <c r="S11" s="357"/>
      <c r="T11" s="357"/>
      <c r="U11" s="358"/>
      <c r="V11" s="323"/>
      <c r="W11" s="114"/>
    </row>
    <row r="12" spans="1:23" ht="21.95" customHeight="1">
      <c r="A12" s="249"/>
      <c r="B12" s="138"/>
      <c r="C12" s="144"/>
      <c r="D12" s="145"/>
      <c r="E12" s="115">
        <f>'Emp.-Detail'!A24</f>
        <v>16</v>
      </c>
      <c r="F12" s="115">
        <f>'Emp.-Detail'!A25</f>
        <v>17</v>
      </c>
      <c r="G12" s="115">
        <f>'Emp.-Detail'!A26</f>
        <v>18</v>
      </c>
      <c r="H12" s="115">
        <f>'Emp.-Detail'!A27</f>
        <v>19</v>
      </c>
      <c r="I12" s="116">
        <f>'Emp.-Detail'!A28</f>
        <v>20</v>
      </c>
      <c r="J12" s="149"/>
      <c r="K12" s="372"/>
      <c r="L12" s="373"/>
      <c r="M12" s="373"/>
      <c r="N12" s="357"/>
      <c r="O12" s="357"/>
      <c r="P12" s="357"/>
      <c r="Q12" s="357"/>
      <c r="R12" s="357"/>
      <c r="S12" s="357"/>
      <c r="T12" s="357"/>
      <c r="U12" s="358"/>
      <c r="V12" s="323"/>
      <c r="W12" s="114"/>
    </row>
    <row r="13" spans="1:23" ht="15" customHeight="1">
      <c r="A13" s="249"/>
      <c r="B13" s="138"/>
      <c r="C13" s="146"/>
      <c r="D13" s="147"/>
      <c r="E13" s="147"/>
      <c r="F13" s="147"/>
      <c r="G13" s="147"/>
      <c r="H13" s="147"/>
      <c r="I13" s="148"/>
      <c r="J13" s="149"/>
      <c r="K13" s="372"/>
      <c r="L13" s="373"/>
      <c r="M13" s="373"/>
      <c r="N13" s="357"/>
      <c r="O13" s="357"/>
      <c r="P13" s="357"/>
      <c r="Q13" s="357"/>
      <c r="R13" s="357"/>
      <c r="S13" s="357"/>
      <c r="T13" s="357"/>
      <c r="U13" s="358"/>
      <c r="V13" s="323"/>
      <c r="W13" s="114"/>
    </row>
    <row r="14" spans="1:23" ht="39" customHeight="1" thickBot="1">
      <c r="A14" s="410"/>
      <c r="B14" s="411"/>
      <c r="C14" s="124" t="s">
        <v>408</v>
      </c>
      <c r="D14" s="125" t="s">
        <v>397</v>
      </c>
      <c r="E14" s="117" t="s">
        <v>398</v>
      </c>
      <c r="F14" s="117" t="s">
        <v>399</v>
      </c>
      <c r="G14" s="117" t="s">
        <v>400</v>
      </c>
      <c r="H14" s="117" t="s">
        <v>401</v>
      </c>
      <c r="I14" s="118" t="s">
        <v>402</v>
      </c>
      <c r="J14" s="149"/>
      <c r="K14" s="372"/>
      <c r="L14" s="373"/>
      <c r="M14" s="373"/>
      <c r="N14" s="357"/>
      <c r="O14" s="357"/>
      <c r="P14" s="357"/>
      <c r="Q14" s="357"/>
      <c r="R14" s="357"/>
      <c r="S14" s="357"/>
      <c r="T14" s="357"/>
      <c r="U14" s="358"/>
      <c r="V14" s="323"/>
      <c r="W14" s="114"/>
    </row>
    <row r="15" spans="1:23" ht="17.25" customHeight="1">
      <c r="A15" s="410"/>
      <c r="B15" s="411"/>
      <c r="C15" s="352"/>
      <c r="D15" s="353"/>
      <c r="E15" s="353"/>
      <c r="F15" s="353"/>
      <c r="G15" s="353"/>
      <c r="H15" s="353"/>
      <c r="I15" s="354"/>
      <c r="J15" s="149"/>
      <c r="K15" s="374">
        <v>5</v>
      </c>
      <c r="L15" s="438" t="s">
        <v>421</v>
      </c>
      <c r="M15" s="438"/>
      <c r="N15" s="359" t="s">
        <v>422</v>
      </c>
      <c r="O15" s="359"/>
      <c r="P15" s="359"/>
      <c r="Q15" s="359"/>
      <c r="R15" s="359"/>
      <c r="S15" s="359"/>
      <c r="T15" s="359"/>
      <c r="U15" s="360"/>
      <c r="V15" s="323"/>
      <c r="W15" s="114"/>
    </row>
    <row r="16" spans="1:23" ht="15" customHeight="1">
      <c r="A16" s="410"/>
      <c r="B16" s="411"/>
      <c r="C16" s="349" t="s">
        <v>410</v>
      </c>
      <c r="D16" s="350"/>
      <c r="E16" s="350"/>
      <c r="F16" s="350" t="s">
        <v>411</v>
      </c>
      <c r="G16" s="350"/>
      <c r="H16" s="350"/>
      <c r="I16" s="351"/>
      <c r="J16" s="149"/>
      <c r="K16" s="374"/>
      <c r="L16" s="438"/>
      <c r="M16" s="438"/>
      <c r="N16" s="359"/>
      <c r="O16" s="359"/>
      <c r="P16" s="359"/>
      <c r="Q16" s="359"/>
      <c r="R16" s="359"/>
      <c r="S16" s="359"/>
      <c r="T16" s="359"/>
      <c r="U16" s="360"/>
      <c r="V16" s="323"/>
      <c r="W16" s="114"/>
    </row>
    <row r="17" spans="1:23" ht="21">
      <c r="A17" s="410"/>
      <c r="B17" s="411"/>
      <c r="C17" s="349"/>
      <c r="D17" s="350"/>
      <c r="E17" s="350"/>
      <c r="F17" s="350"/>
      <c r="G17" s="350"/>
      <c r="H17" s="350"/>
      <c r="I17" s="351"/>
      <c r="J17" s="149"/>
      <c r="K17" s="435"/>
      <c r="L17" s="436"/>
      <c r="M17" s="436"/>
      <c r="N17" s="436"/>
      <c r="O17" s="436"/>
      <c r="P17" s="436"/>
      <c r="Q17" s="436"/>
      <c r="R17" s="436"/>
      <c r="S17" s="436"/>
      <c r="T17" s="436"/>
      <c r="U17" s="437"/>
      <c r="V17" s="323"/>
      <c r="W17" s="114"/>
    </row>
    <row r="18" spans="1:23" ht="21">
      <c r="A18" s="410"/>
      <c r="B18" s="411"/>
      <c r="C18" s="333"/>
      <c r="D18" s="350" t="s">
        <v>412</v>
      </c>
      <c r="E18" s="350"/>
      <c r="F18" s="350"/>
      <c r="G18" s="350"/>
      <c r="H18" s="350"/>
      <c r="I18" s="334"/>
      <c r="J18" s="149"/>
      <c r="K18" s="375" t="s">
        <v>423</v>
      </c>
      <c r="L18" s="376"/>
      <c r="M18" s="376"/>
      <c r="N18" s="430" t="s">
        <v>424</v>
      </c>
      <c r="O18" s="430"/>
      <c r="P18" s="430"/>
      <c r="Q18" s="430"/>
      <c r="R18" s="430"/>
      <c r="S18" s="430"/>
      <c r="T18" s="430"/>
      <c r="U18" s="431"/>
      <c r="V18" s="323"/>
      <c r="W18" s="114"/>
    </row>
    <row r="19" spans="1:23" ht="12.75" customHeight="1">
      <c r="A19" s="410"/>
      <c r="B19" s="411"/>
      <c r="C19" s="349"/>
      <c r="D19" s="350"/>
      <c r="E19" s="350"/>
      <c r="F19" s="350"/>
      <c r="G19" s="350"/>
      <c r="H19" s="350"/>
      <c r="I19" s="351"/>
      <c r="J19" s="149"/>
      <c r="K19" s="375"/>
      <c r="L19" s="376"/>
      <c r="M19" s="376"/>
      <c r="N19" s="430"/>
      <c r="O19" s="430"/>
      <c r="P19" s="430"/>
      <c r="Q19" s="430"/>
      <c r="R19" s="430"/>
      <c r="S19" s="430"/>
      <c r="T19" s="430"/>
      <c r="U19" s="431"/>
      <c r="V19" s="323"/>
      <c r="W19" s="114"/>
    </row>
    <row r="20" spans="1:23" ht="18" customHeight="1">
      <c r="A20" s="410"/>
      <c r="B20" s="411"/>
      <c r="C20" s="349" t="s">
        <v>413</v>
      </c>
      <c r="D20" s="350"/>
      <c r="E20" s="355" t="s">
        <v>414</v>
      </c>
      <c r="F20" s="355"/>
      <c r="G20" s="355"/>
      <c r="H20" s="355"/>
      <c r="I20" s="356"/>
      <c r="J20" s="149"/>
      <c r="K20" s="375"/>
      <c r="L20" s="376"/>
      <c r="M20" s="376"/>
      <c r="N20" s="430"/>
      <c r="O20" s="430"/>
      <c r="P20" s="430"/>
      <c r="Q20" s="430"/>
      <c r="R20" s="430"/>
      <c r="S20" s="430"/>
      <c r="T20" s="430"/>
      <c r="U20" s="431"/>
      <c r="V20" s="323"/>
      <c r="W20" s="114"/>
    </row>
    <row r="21" spans="1:23" ht="11.25" customHeight="1" thickBot="1">
      <c r="A21" s="412"/>
      <c r="B21" s="413"/>
      <c r="C21" s="349"/>
      <c r="D21" s="350"/>
      <c r="E21" s="350"/>
      <c r="F21" s="350"/>
      <c r="G21" s="350"/>
      <c r="H21" s="350"/>
      <c r="I21" s="351"/>
      <c r="J21" s="149"/>
      <c r="K21" s="375"/>
      <c r="L21" s="376"/>
      <c r="M21" s="376"/>
      <c r="N21" s="430"/>
      <c r="O21" s="430"/>
      <c r="P21" s="430"/>
      <c r="Q21" s="430"/>
      <c r="R21" s="430"/>
      <c r="S21" s="430"/>
      <c r="T21" s="430"/>
      <c r="U21" s="431"/>
      <c r="V21" s="323"/>
      <c r="W21" s="114"/>
    </row>
    <row r="22" spans="1:23" ht="9.75" customHeight="1" thickTop="1" thickBot="1">
      <c r="A22" s="406" t="s">
        <v>429</v>
      </c>
      <c r="B22" s="407"/>
      <c r="C22" s="408"/>
      <c r="D22" s="408"/>
      <c r="E22" s="408"/>
      <c r="F22" s="408"/>
      <c r="G22" s="408"/>
      <c r="H22" s="408"/>
      <c r="I22" s="409"/>
      <c r="J22" s="149"/>
      <c r="K22" s="375"/>
      <c r="L22" s="376"/>
      <c r="M22" s="376"/>
      <c r="N22" s="430"/>
      <c r="O22" s="430"/>
      <c r="P22" s="430"/>
      <c r="Q22" s="430"/>
      <c r="R22" s="430"/>
      <c r="S22" s="430"/>
      <c r="T22" s="430"/>
      <c r="U22" s="431"/>
      <c r="V22" s="323"/>
      <c r="W22" s="114"/>
    </row>
    <row r="23" spans="1:23" ht="30" customHeight="1">
      <c r="A23" s="397"/>
      <c r="B23" s="398"/>
      <c r="C23" s="387" t="s">
        <v>599</v>
      </c>
      <c r="D23" s="388"/>
      <c r="E23" s="388"/>
      <c r="F23" s="388" t="s">
        <v>602</v>
      </c>
      <c r="G23" s="388"/>
      <c r="H23" s="388"/>
      <c r="I23" s="389"/>
      <c r="J23" s="149"/>
      <c r="K23" s="403" t="s">
        <v>425</v>
      </c>
      <c r="L23" s="404"/>
      <c r="M23" s="404"/>
      <c r="N23" s="404"/>
      <c r="O23" s="404"/>
      <c r="P23" s="404"/>
      <c r="Q23" s="404"/>
      <c r="R23" s="404"/>
      <c r="S23" s="404"/>
      <c r="T23" s="404"/>
      <c r="U23" s="405"/>
      <c r="V23" s="323"/>
      <c r="W23" s="114"/>
    </row>
    <row r="24" spans="1:23" ht="30" customHeight="1">
      <c r="A24" s="399"/>
      <c r="B24" s="400"/>
      <c r="C24" s="390" t="s">
        <v>318</v>
      </c>
      <c r="D24" s="391"/>
      <c r="E24" s="391"/>
      <c r="F24" s="391"/>
      <c r="G24" s="391"/>
      <c r="H24" s="391"/>
      <c r="I24" s="392"/>
      <c r="J24" s="149"/>
      <c r="K24" s="362" t="s">
        <v>428</v>
      </c>
      <c r="L24" s="363"/>
      <c r="M24" s="363"/>
      <c r="N24" s="363"/>
      <c r="O24" s="363"/>
      <c r="P24" s="363"/>
      <c r="Q24" s="363"/>
      <c r="R24" s="363"/>
      <c r="S24" s="363"/>
      <c r="T24" s="363"/>
      <c r="U24" s="364"/>
      <c r="V24" s="323"/>
      <c r="W24" s="114"/>
    </row>
    <row r="25" spans="1:23" ht="15" customHeight="1">
      <c r="A25" s="399"/>
      <c r="B25" s="400"/>
      <c r="C25" s="330"/>
      <c r="D25" s="331"/>
      <c r="E25" s="331"/>
      <c r="F25" s="331"/>
      <c r="G25" s="331"/>
      <c r="H25" s="331"/>
      <c r="I25" s="332"/>
      <c r="J25" s="149"/>
      <c r="K25" s="365"/>
      <c r="L25" s="366"/>
      <c r="M25" s="366"/>
      <c r="N25" s="366"/>
      <c r="O25" s="366"/>
      <c r="P25" s="366"/>
      <c r="Q25" s="366"/>
      <c r="R25" s="366"/>
      <c r="S25" s="366"/>
      <c r="T25" s="366"/>
      <c r="U25" s="367"/>
      <c r="W25" s="114"/>
    </row>
    <row r="26" spans="1:23" ht="30" customHeight="1" thickBot="1">
      <c r="A26" s="401"/>
      <c r="B26" s="402"/>
      <c r="C26" s="393" t="s">
        <v>600</v>
      </c>
      <c r="D26" s="394"/>
      <c r="E26" s="395" t="s">
        <v>601</v>
      </c>
      <c r="F26" s="395"/>
      <c r="G26" s="395"/>
      <c r="H26" s="395"/>
      <c r="I26" s="396"/>
      <c r="J26" s="149"/>
      <c r="K26" s="328" t="s">
        <v>426</v>
      </c>
      <c r="L26" s="329"/>
      <c r="M26" s="329"/>
      <c r="N26" s="329"/>
      <c r="O26" s="329"/>
      <c r="P26" s="329"/>
      <c r="Q26" s="126"/>
      <c r="R26" s="380"/>
      <c r="S26" s="380"/>
      <c r="T26" s="380"/>
      <c r="U26" s="381"/>
      <c r="W26" s="114"/>
    </row>
    <row r="27" spans="1:23" ht="103.5" customHeight="1" thickBot="1">
      <c r="A27" s="385" t="s">
        <v>579</v>
      </c>
      <c r="B27" s="386"/>
      <c r="C27" s="382" t="s">
        <v>580</v>
      </c>
      <c r="D27" s="383"/>
      <c r="E27" s="383"/>
      <c r="F27" s="383"/>
      <c r="G27" s="383"/>
      <c r="H27" s="383"/>
      <c r="I27" s="384"/>
      <c r="J27" s="149"/>
      <c r="K27" s="377" t="s">
        <v>598</v>
      </c>
      <c r="L27" s="378"/>
      <c r="M27" s="378"/>
      <c r="N27" s="378"/>
      <c r="O27" s="378"/>
      <c r="P27" s="378"/>
      <c r="Q27" s="378"/>
      <c r="R27" s="378"/>
      <c r="S27" s="378"/>
      <c r="T27" s="378"/>
      <c r="U27" s="379"/>
      <c r="W27" s="114"/>
    </row>
    <row r="28" spans="1:23" ht="14.25" customHeight="1">
      <c r="A28" s="235"/>
      <c r="B28" s="235"/>
      <c r="C28" s="323"/>
      <c r="D28" s="323"/>
      <c r="E28" s="323"/>
      <c r="F28" s="323"/>
      <c r="G28" s="323"/>
      <c r="H28" s="323"/>
      <c r="I28" s="323"/>
      <c r="J28" s="323"/>
      <c r="K28" s="323"/>
      <c r="L28" s="323"/>
      <c r="M28" s="323"/>
      <c r="N28" s="323"/>
      <c r="O28" s="323"/>
      <c r="P28" s="323"/>
      <c r="Q28" s="323"/>
      <c r="R28" s="323"/>
      <c r="S28" s="323"/>
      <c r="T28" s="323"/>
      <c r="U28" s="323"/>
      <c r="V28" s="323"/>
      <c r="W28" s="114"/>
    </row>
    <row r="29" spans="1:23" ht="14.25" hidden="1" customHeight="1">
      <c r="K29" s="114"/>
      <c r="L29" s="114"/>
      <c r="M29" s="114"/>
      <c r="N29" s="114"/>
      <c r="O29" s="114"/>
      <c r="P29" s="114"/>
      <c r="Q29" s="114"/>
      <c r="R29" s="114"/>
      <c r="S29" s="114"/>
      <c r="T29" s="114"/>
      <c r="U29" s="114"/>
      <c r="W29" s="114"/>
    </row>
  </sheetData>
  <sheetProtection password="CC21" sheet="1" objects="1" scenarios="1" selectLockedCells="1"/>
  <mergeCells count="47">
    <mergeCell ref="A22:B22"/>
    <mergeCell ref="C22:I22"/>
    <mergeCell ref="A14:B21"/>
    <mergeCell ref="J2:J7"/>
    <mergeCell ref="K3:U4"/>
    <mergeCell ref="K2:U2"/>
    <mergeCell ref="L7:M9"/>
    <mergeCell ref="K7:K9"/>
    <mergeCell ref="N6:U6"/>
    <mergeCell ref="N7:U9"/>
    <mergeCell ref="N18:U22"/>
    <mergeCell ref="L10:M10"/>
    <mergeCell ref="N10:U10"/>
    <mergeCell ref="C16:E16"/>
    <mergeCell ref="K17:U17"/>
    <mergeCell ref="L15:M16"/>
    <mergeCell ref="K27:U27"/>
    <mergeCell ref="R26:U26"/>
    <mergeCell ref="C27:I27"/>
    <mergeCell ref="A27:B27"/>
    <mergeCell ref="C23:E23"/>
    <mergeCell ref="F23:I23"/>
    <mergeCell ref="C24:I24"/>
    <mergeCell ref="C26:D26"/>
    <mergeCell ref="E26:I26"/>
    <mergeCell ref="A23:B26"/>
    <mergeCell ref="K23:U23"/>
    <mergeCell ref="N11:U14"/>
    <mergeCell ref="N15:U16"/>
    <mergeCell ref="L6:M6"/>
    <mergeCell ref="K24:U25"/>
    <mergeCell ref="C4:D4"/>
    <mergeCell ref="C21:I21"/>
    <mergeCell ref="K5:U5"/>
    <mergeCell ref="K11:K14"/>
    <mergeCell ref="L11:M14"/>
    <mergeCell ref="K15:K16"/>
    <mergeCell ref="K18:M22"/>
    <mergeCell ref="C2:I3"/>
    <mergeCell ref="G4:I4"/>
    <mergeCell ref="C20:D20"/>
    <mergeCell ref="F16:I16"/>
    <mergeCell ref="D18:H18"/>
    <mergeCell ref="C15:I15"/>
    <mergeCell ref="C17:I17"/>
    <mergeCell ref="C19:I19"/>
    <mergeCell ref="E20:I20"/>
  </mergeCells>
  <hyperlinks>
    <hyperlink ref="E5" location="Rules!A1" tooltip=" " display="Rules!A1"/>
    <hyperlink ref="E6" location="'DDO '!A1" tooltip=" " display="'DDO '!A1"/>
    <hyperlink ref="E7" location="'Emp.-Detail'!A1" tooltip=" " display="'Emp.-Detail'!A1"/>
    <hyperlink ref="E9" location="'Emp-1'!A1" tooltip=" " display="'Emp-1'!A1"/>
    <hyperlink ref="F9" location="'Emp-2'!A1" tooltip=" " display="'Emp-2'!A1"/>
    <hyperlink ref="G9" location="'Emp-3'!A1" tooltip=" " display="'Emp-3'!A1"/>
    <hyperlink ref="H9" location="'Emp-4'!A1" tooltip=" " display="'Emp-4'!A1"/>
    <hyperlink ref="I9" location="'Emp-5'!A1" tooltip=" " display="'Emp-5'!A1"/>
    <hyperlink ref="E10" location="'Emp-6'!A1" tooltip=" " display="'Emp-6'!A1"/>
    <hyperlink ref="F10" location="'Emp-7'!A1" tooltip=" " display="'Emp-7'!A1"/>
    <hyperlink ref="G10" location="'Emp-8'!A1" tooltip=" " display="'Emp-8'!A1"/>
    <hyperlink ref="H10" location="'Emp-9'!A1" tooltip=" " display="'Emp-9'!A1"/>
    <hyperlink ref="I10" location="'Emp-10'!A1" tooltip=" " display="'Emp-10'!A1"/>
    <hyperlink ref="E11" location="'Emp-11'!A1" tooltip=" " display="'Emp-11'!A1"/>
    <hyperlink ref="F11" location="'Emp-12'!A1" tooltip=" " display="'Emp-12'!A1"/>
    <hyperlink ref="G11" location="'Emp-13'!A1" tooltip=" " display="'Emp-13'!A1"/>
    <hyperlink ref="H11" location="'Emp-14'!A1" tooltip=" " display="'Emp-14'!A1"/>
    <hyperlink ref="I11" location="'Emp-15'!A1" tooltip=" " display="'Emp-15'!A1"/>
    <hyperlink ref="E12" location="'Emp-16'!A1" tooltip=" " display="'Emp-16'!A1"/>
    <hyperlink ref="F12" location="'Emp-17'!A1" tooltip=" " display="'Emp-17'!A1"/>
    <hyperlink ref="G12" location="'Emp-18'!A1" tooltip=" " display="'Emp-18'!A1"/>
    <hyperlink ref="H12" location="'Emp-19'!A1" tooltip=" " display="'Emp-19'!A1"/>
    <hyperlink ref="I12" location="'Emp-20'!A1" tooltip=" " display="'Emp-20'!A1"/>
    <hyperlink ref="E14" location="'Q-I'!A1" tooltip=" " display="Q-I"/>
    <hyperlink ref="F14" location="'Q-II'!A1" tooltip=" " display="Q-II"/>
    <hyperlink ref="G14" location="'Q-III'!A1" tooltip=" " display="Q-III"/>
    <hyperlink ref="H14" location="'Q-IV'!A1" tooltip=" " display="Q-IV"/>
    <hyperlink ref="I14" location="'ALL-Q'!A1" tooltip=" " display="ALL-Q"/>
  </hyperlinks>
  <pageMargins left="0.7" right="0.7" top="0.75" bottom="0.75" header="0.3" footer="0.3"/>
  <pageSetup paperSize="9" orientation="portrait" r:id="rId1"/>
  <ignoredErrors>
    <ignoredError sqref="C5:C7 C9 C14" numberStoredAsText="1"/>
    <ignoredError sqref="E11:E12 E9:I9 F11:I12 K2 E10:F10 G10:I10" unlockedFormula="1"/>
  </ignoredErrors>
  <drawing r:id="rId2"/>
</worksheet>
</file>

<file path=xl/worksheets/sheet10.xml><?xml version="1.0" encoding="utf-8"?>
<worksheet xmlns="http://schemas.openxmlformats.org/spreadsheetml/2006/main" xmlns:r="http://schemas.openxmlformats.org/officeDocument/2006/relationships">
  <dimension ref="A1:AJ150"/>
  <sheetViews>
    <sheetView view="pageBreakPreview" topLeftCell="A18" zoomScaleSheetLayoutView="100" workbookViewId="0">
      <selection activeCell="O26" sqref="O26"/>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CHANDAR KALA </v>
      </c>
      <c r="T3" s="538"/>
      <c r="U3" s="538"/>
      <c r="V3" s="538"/>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'Emp.-Detail'!B14</f>
        <v xml:space="preserve">CHANDAR KALA </v>
      </c>
      <c r="E4" s="949"/>
      <c r="F4" s="949"/>
      <c r="G4" s="949"/>
      <c r="H4" s="949"/>
      <c r="I4" s="854"/>
      <c r="J4" s="1185">
        <f>'Emp.-Detail'!A14</f>
        <v>6</v>
      </c>
      <c r="K4" s="1186"/>
      <c r="L4" s="1187"/>
      <c r="M4" s="982" t="s">
        <v>8</v>
      </c>
      <c r="N4" s="833"/>
      <c r="O4" s="833"/>
      <c r="P4" s="949" t="str">
        <f>'Emp.-Detail'!C14</f>
        <v>Lecturer</v>
      </c>
      <c r="Q4" s="950"/>
      <c r="R4" s="50"/>
      <c r="S4" s="1250" t="str">
        <f>D5</f>
        <v>ACNPV0041M</v>
      </c>
      <c r="T4" s="538"/>
      <c r="U4" s="538"/>
      <c r="V4" s="538"/>
      <c r="W4" s="959" t="str">
        <f>'Emp.-Detail'!H14</f>
        <v>01922040000140</v>
      </c>
      <c r="X4" s="949"/>
      <c r="Y4" s="949"/>
      <c r="Z4" s="949"/>
      <c r="AA4" s="949" t="str">
        <f>'Emp.-Detail'!I14</f>
        <v>O.B.C.,Sujangarh</v>
      </c>
      <c r="AB4" s="949"/>
      <c r="AC4" s="949"/>
      <c r="AD4" s="949"/>
      <c r="AE4" s="949"/>
      <c r="AF4" s="950"/>
      <c r="AG4" s="17"/>
    </row>
    <row r="5" spans="1:33" ht="19.5" customHeight="1" thickBot="1">
      <c r="A5" s="954" t="s">
        <v>135</v>
      </c>
      <c r="B5" s="833"/>
      <c r="C5" s="833"/>
      <c r="D5" s="949" t="str">
        <f>'Emp.-Detail'!D14</f>
        <v>ACNPV0041M</v>
      </c>
      <c r="E5" s="949"/>
      <c r="F5" s="949"/>
      <c r="G5" s="949"/>
      <c r="H5" s="949"/>
      <c r="I5" s="854"/>
      <c r="J5" s="1188"/>
      <c r="K5" s="1189"/>
      <c r="L5" s="1190"/>
      <c r="M5" s="982" t="s">
        <v>137</v>
      </c>
      <c r="N5" s="833"/>
      <c r="O5" s="833"/>
      <c r="P5" s="959">
        <f>'Emp.-Detail'!G14</f>
        <v>9785340293</v>
      </c>
      <c r="Q5" s="950"/>
      <c r="R5" s="50"/>
      <c r="S5" s="974" t="s">
        <v>203</v>
      </c>
      <c r="T5" s="975"/>
      <c r="U5" s="975"/>
      <c r="V5" s="975"/>
      <c r="W5" s="951">
        <f>SUM(Q9:Q20)</f>
        <v>684249</v>
      </c>
      <c r="X5" s="951"/>
      <c r="Y5" s="1248" t="s">
        <v>202</v>
      </c>
      <c r="Z5" s="1249"/>
      <c r="AA5" s="1088"/>
      <c r="AB5" s="951">
        <f>P46</f>
        <v>0</v>
      </c>
      <c r="AC5" s="949"/>
      <c r="AD5" s="941">
        <f>W5+AB5</f>
        <v>684249</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684249</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684249</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684249</v>
      </c>
      <c r="AE8" s="942"/>
      <c r="AF8" s="943"/>
      <c r="AG8" s="17"/>
    </row>
    <row r="9" spans="1:33" ht="19.5" customHeight="1">
      <c r="A9" s="285">
        <v>1</v>
      </c>
      <c r="B9" s="286">
        <v>42430</v>
      </c>
      <c r="C9" s="190">
        <f>'Emp.-Detail'!E14</f>
        <v>23290</v>
      </c>
      <c r="D9" s="190">
        <f>ROUND(C9*119%,0)</f>
        <v>27715</v>
      </c>
      <c r="E9" s="191">
        <f>ROUND((C9+D9)*10%,0)</f>
        <v>5101</v>
      </c>
      <c r="F9" s="190">
        <f>ROUND(C9*10%,0)</f>
        <v>2329</v>
      </c>
      <c r="G9" s="190">
        <v>0</v>
      </c>
      <c r="H9" s="190">
        <v>0</v>
      </c>
      <c r="I9" s="192">
        <f>ROUND(C9*6%,0)*3</f>
        <v>4191</v>
      </c>
      <c r="J9" s="190">
        <v>0</v>
      </c>
      <c r="K9" s="190">
        <f>ROUND((I9+J9)*10%,0)</f>
        <v>419</v>
      </c>
      <c r="L9" s="190">
        <v>0</v>
      </c>
      <c r="M9" s="190">
        <v>0</v>
      </c>
      <c r="N9" s="190">
        <v>0</v>
      </c>
      <c r="O9" s="190">
        <v>0</v>
      </c>
      <c r="P9" s="193">
        <v>0</v>
      </c>
      <c r="Q9" s="290">
        <f>C9+D9+F9+G9+H9+I9+J9+L9+M9+N9+O9</f>
        <v>57525</v>
      </c>
      <c r="R9" s="282"/>
      <c r="S9" s="984" t="s">
        <v>144</v>
      </c>
      <c r="T9" s="985"/>
      <c r="U9" s="985"/>
      <c r="V9" s="985"/>
      <c r="W9" s="985"/>
      <c r="X9" s="985"/>
      <c r="Y9" s="985"/>
      <c r="Z9" s="971" t="s">
        <v>18</v>
      </c>
      <c r="AA9" s="971"/>
      <c r="AB9" s="967">
        <f>O49</f>
        <v>0</v>
      </c>
      <c r="AC9" s="968"/>
      <c r="AD9" s="977">
        <f>AD8+AB9</f>
        <v>684249</v>
      </c>
      <c r="AE9" s="978"/>
      <c r="AF9" s="979"/>
      <c r="AG9" s="17"/>
    </row>
    <row r="10" spans="1:33" ht="19.5" customHeight="1">
      <c r="A10" s="187">
        <v>2</v>
      </c>
      <c r="B10" s="286">
        <v>42461</v>
      </c>
      <c r="C10" s="192">
        <f>C9</f>
        <v>23290</v>
      </c>
      <c r="D10" s="190">
        <f>ROUND(C10*125%,0)</f>
        <v>29113</v>
      </c>
      <c r="E10" s="191">
        <f t="shared" ref="E10:E20" si="0">ROUND((C10+D10)*10%,0)</f>
        <v>5240</v>
      </c>
      <c r="F10" s="190">
        <f t="shared" ref="F10:F20" si="1">ROUND(C10*10%,0)</f>
        <v>2329</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54732</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23290</v>
      </c>
      <c r="D11" s="190">
        <f t="shared" ref="D11:D15" si="4">ROUND(C11*125%,0)</f>
        <v>29113</v>
      </c>
      <c r="E11" s="191">
        <f t="shared" si="0"/>
        <v>5240</v>
      </c>
      <c r="F11" s="190">
        <f t="shared" si="1"/>
        <v>2329</v>
      </c>
      <c r="G11" s="192">
        <f t="shared" ref="G11:H20" si="5">G10</f>
        <v>0</v>
      </c>
      <c r="H11" s="192">
        <f t="shared" si="5"/>
        <v>0</v>
      </c>
      <c r="I11" s="192">
        <v>0</v>
      </c>
      <c r="J11" s="190">
        <v>0</v>
      </c>
      <c r="K11" s="190">
        <f t="shared" si="2"/>
        <v>0</v>
      </c>
      <c r="L11" s="190">
        <v>0</v>
      </c>
      <c r="M11" s="190">
        <v>0</v>
      </c>
      <c r="N11" s="190">
        <v>0</v>
      </c>
      <c r="O11" s="190">
        <v>0</v>
      </c>
      <c r="P11" s="193">
        <v>0</v>
      </c>
      <c r="Q11" s="290">
        <f t="shared" si="3"/>
        <v>54732</v>
      </c>
      <c r="R11" s="50"/>
      <c r="S11" s="292" t="s">
        <v>146</v>
      </c>
      <c r="T11" s="958">
        <f>O50</f>
        <v>0</v>
      </c>
      <c r="U11" s="948"/>
      <c r="V11" s="980">
        <f>O51</f>
        <v>0</v>
      </c>
      <c r="W11" s="958"/>
      <c r="X11" s="948"/>
      <c r="Y11" s="980">
        <f>Q49</f>
        <v>0</v>
      </c>
      <c r="Z11" s="958"/>
      <c r="AA11" s="948"/>
      <c r="AB11" s="980">
        <f>T11+V11+Y11</f>
        <v>0</v>
      </c>
      <c r="AC11" s="948"/>
      <c r="AD11" s="941">
        <f>AD9-AB11</f>
        <v>684249</v>
      </c>
      <c r="AE11" s="942"/>
      <c r="AF11" s="943"/>
      <c r="AG11" s="17"/>
    </row>
    <row r="12" spans="1:33" ht="19.5" customHeight="1">
      <c r="A12" s="187">
        <v>4</v>
      </c>
      <c r="B12" s="286">
        <v>42522</v>
      </c>
      <c r="C12" s="192">
        <f>C11</f>
        <v>23290</v>
      </c>
      <c r="D12" s="190">
        <f t="shared" si="4"/>
        <v>29113</v>
      </c>
      <c r="E12" s="191">
        <f t="shared" si="0"/>
        <v>5240</v>
      </c>
      <c r="F12" s="190">
        <f t="shared" si="1"/>
        <v>2329</v>
      </c>
      <c r="G12" s="192">
        <f t="shared" si="5"/>
        <v>0</v>
      </c>
      <c r="H12" s="192">
        <f t="shared" si="5"/>
        <v>0</v>
      </c>
      <c r="I12" s="192">
        <v>0</v>
      </c>
      <c r="J12" s="190">
        <v>0</v>
      </c>
      <c r="K12" s="190">
        <f t="shared" si="2"/>
        <v>0</v>
      </c>
      <c r="L12" s="190">
        <v>0</v>
      </c>
      <c r="M12" s="190">
        <v>0</v>
      </c>
      <c r="N12" s="190">
        <v>0</v>
      </c>
      <c r="O12" s="190">
        <v>0</v>
      </c>
      <c r="P12" s="193">
        <v>0</v>
      </c>
      <c r="Q12" s="290">
        <f t="shared" si="3"/>
        <v>54732</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23990</v>
      </c>
      <c r="D13" s="190">
        <f t="shared" si="4"/>
        <v>29988</v>
      </c>
      <c r="E13" s="191">
        <f t="shared" si="0"/>
        <v>5398</v>
      </c>
      <c r="F13" s="190">
        <f t="shared" si="1"/>
        <v>2399</v>
      </c>
      <c r="G13" s="192">
        <f t="shared" si="5"/>
        <v>0</v>
      </c>
      <c r="H13" s="192">
        <f t="shared" si="5"/>
        <v>0</v>
      </c>
      <c r="I13" s="192">
        <v>0</v>
      </c>
      <c r="J13" s="190">
        <v>0</v>
      </c>
      <c r="K13" s="190">
        <f t="shared" si="2"/>
        <v>0</v>
      </c>
      <c r="L13" s="190">
        <v>0</v>
      </c>
      <c r="M13" s="190">
        <v>0</v>
      </c>
      <c r="N13" s="190">
        <v>0</v>
      </c>
      <c r="O13" s="190">
        <v>0</v>
      </c>
      <c r="P13" s="193">
        <v>0</v>
      </c>
      <c r="Q13" s="290">
        <f t="shared" si="3"/>
        <v>56377</v>
      </c>
      <c r="R13" s="70"/>
      <c r="S13" s="991">
        <f>O52</f>
        <v>0</v>
      </c>
      <c r="T13" s="948"/>
      <c r="U13" s="980">
        <f>O53</f>
        <v>0</v>
      </c>
      <c r="V13" s="948"/>
      <c r="W13" s="980">
        <f>O54</f>
        <v>0</v>
      </c>
      <c r="X13" s="948"/>
      <c r="Y13" s="980">
        <f>O55</f>
        <v>0</v>
      </c>
      <c r="Z13" s="958"/>
      <c r="AA13" s="958"/>
      <c r="AB13" s="951">
        <f>SUM(S13:AA13)</f>
        <v>0</v>
      </c>
      <c r="AC13" s="951"/>
      <c r="AD13" s="941">
        <f>AD11+AB13</f>
        <v>684249</v>
      </c>
      <c r="AE13" s="965"/>
      <c r="AF13" s="966"/>
      <c r="AG13" s="17"/>
    </row>
    <row r="14" spans="1:33" ht="19.5" customHeight="1">
      <c r="A14" s="187">
        <v>6</v>
      </c>
      <c r="B14" s="286">
        <v>42583</v>
      </c>
      <c r="C14" s="192">
        <f t="shared" ref="C14:C20" si="6">C13</f>
        <v>23990</v>
      </c>
      <c r="D14" s="190">
        <f>ROUND(C14*125%,0)</f>
        <v>29988</v>
      </c>
      <c r="E14" s="191">
        <f t="shared" si="0"/>
        <v>5398</v>
      </c>
      <c r="F14" s="190">
        <f t="shared" si="1"/>
        <v>2399</v>
      </c>
      <c r="G14" s="192">
        <f t="shared" si="5"/>
        <v>0</v>
      </c>
      <c r="H14" s="192">
        <f t="shared" si="5"/>
        <v>0</v>
      </c>
      <c r="I14" s="192">
        <v>0</v>
      </c>
      <c r="J14" s="192">
        <f>ROUND(C13*6%,0)*3</f>
        <v>4317</v>
      </c>
      <c r="K14" s="190">
        <f t="shared" si="2"/>
        <v>432</v>
      </c>
      <c r="L14" s="190">
        <v>0</v>
      </c>
      <c r="M14" s="190">
        <v>0</v>
      </c>
      <c r="N14" s="190">
        <v>0</v>
      </c>
      <c r="O14" s="190">
        <v>0</v>
      </c>
      <c r="P14" s="193">
        <v>0</v>
      </c>
      <c r="Q14" s="290">
        <f t="shared" si="3"/>
        <v>60694</v>
      </c>
      <c r="R14" s="50"/>
      <c r="S14" s="954" t="s">
        <v>19</v>
      </c>
      <c r="T14" s="833"/>
      <c r="U14" s="833"/>
      <c r="V14" s="833"/>
      <c r="W14" s="833"/>
      <c r="X14" s="833"/>
      <c r="Y14" s="833"/>
      <c r="Z14" s="833"/>
      <c r="AA14" s="951">
        <f>I55</f>
        <v>0</v>
      </c>
      <c r="AB14" s="951"/>
      <c r="AC14" s="951"/>
      <c r="AD14" s="941">
        <f>AD13+AA14</f>
        <v>684249</v>
      </c>
      <c r="AE14" s="942"/>
      <c r="AF14" s="943"/>
      <c r="AG14" s="17"/>
    </row>
    <row r="15" spans="1:33" ht="19.5" customHeight="1">
      <c r="A15" s="187">
        <v>7</v>
      </c>
      <c r="B15" s="286">
        <v>42614</v>
      </c>
      <c r="C15" s="192">
        <f t="shared" si="6"/>
        <v>23990</v>
      </c>
      <c r="D15" s="190">
        <f t="shared" si="4"/>
        <v>29988</v>
      </c>
      <c r="E15" s="191">
        <f t="shared" si="0"/>
        <v>5398</v>
      </c>
      <c r="F15" s="190">
        <f t="shared" si="1"/>
        <v>2399</v>
      </c>
      <c r="G15" s="192">
        <f t="shared" si="5"/>
        <v>0</v>
      </c>
      <c r="H15" s="192">
        <f t="shared" si="5"/>
        <v>0</v>
      </c>
      <c r="I15" s="192">
        <v>0</v>
      </c>
      <c r="J15" s="192">
        <v>0</v>
      </c>
      <c r="K15" s="190">
        <f t="shared" si="2"/>
        <v>0</v>
      </c>
      <c r="L15" s="190">
        <v>0</v>
      </c>
      <c r="M15" s="190">
        <v>0</v>
      </c>
      <c r="N15" s="190">
        <v>0</v>
      </c>
      <c r="O15" s="190">
        <v>0</v>
      </c>
      <c r="P15" s="193">
        <v>0</v>
      </c>
      <c r="Q15" s="290">
        <f t="shared" si="3"/>
        <v>56377</v>
      </c>
      <c r="R15" s="50"/>
      <c r="S15" s="992" t="s">
        <v>20</v>
      </c>
      <c r="T15" s="993"/>
      <c r="U15" s="993"/>
      <c r="V15" s="993"/>
      <c r="W15" s="993"/>
      <c r="X15" s="993"/>
      <c r="Y15" s="993"/>
      <c r="Z15" s="993"/>
      <c r="AA15" s="993"/>
      <c r="AB15" s="993"/>
      <c r="AC15" s="993"/>
      <c r="AD15" s="941">
        <f>AD14</f>
        <v>684249</v>
      </c>
      <c r="AE15" s="942"/>
      <c r="AF15" s="943"/>
      <c r="AG15" s="17"/>
    </row>
    <row r="16" spans="1:33" ht="19.5" customHeight="1">
      <c r="A16" s="187">
        <v>8</v>
      </c>
      <c r="B16" s="286">
        <v>42644</v>
      </c>
      <c r="C16" s="192">
        <f t="shared" si="6"/>
        <v>23990</v>
      </c>
      <c r="D16" s="190">
        <f>ROUND(C16*131%,0)</f>
        <v>31427</v>
      </c>
      <c r="E16" s="191">
        <f t="shared" si="0"/>
        <v>5542</v>
      </c>
      <c r="F16" s="190">
        <f t="shared" si="1"/>
        <v>2399</v>
      </c>
      <c r="G16" s="192">
        <f t="shared" si="5"/>
        <v>0</v>
      </c>
      <c r="H16" s="192">
        <f t="shared" si="5"/>
        <v>0</v>
      </c>
      <c r="I16" s="192">
        <v>0</v>
      </c>
      <c r="J16" s="192">
        <v>0</v>
      </c>
      <c r="K16" s="190">
        <f t="shared" si="2"/>
        <v>0</v>
      </c>
      <c r="L16" s="190">
        <v>0</v>
      </c>
      <c r="M16" s="190">
        <v>0</v>
      </c>
      <c r="N16" s="190">
        <v>0</v>
      </c>
      <c r="O16" s="190">
        <v>0</v>
      </c>
      <c r="P16" s="193">
        <v>0</v>
      </c>
      <c r="Q16" s="290">
        <f t="shared" si="3"/>
        <v>57816</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23990</v>
      </c>
      <c r="D17" s="190">
        <f>ROUND(C17*131%,0)</f>
        <v>31427</v>
      </c>
      <c r="E17" s="191">
        <f t="shared" si="0"/>
        <v>5542</v>
      </c>
      <c r="F17" s="190">
        <f t="shared" si="1"/>
        <v>2399</v>
      </c>
      <c r="G17" s="192">
        <f t="shared" si="5"/>
        <v>0</v>
      </c>
      <c r="H17" s="192">
        <f t="shared" si="5"/>
        <v>0</v>
      </c>
      <c r="I17" s="192">
        <v>0</v>
      </c>
      <c r="J17" s="192">
        <v>0</v>
      </c>
      <c r="K17" s="190">
        <f t="shared" si="2"/>
        <v>0</v>
      </c>
      <c r="L17" s="190">
        <v>0</v>
      </c>
      <c r="M17" s="190">
        <v>0</v>
      </c>
      <c r="N17" s="190">
        <v>0</v>
      </c>
      <c r="O17" s="190">
        <v>0</v>
      </c>
      <c r="P17" s="193">
        <v>0</v>
      </c>
      <c r="Q17" s="290">
        <f t="shared" si="3"/>
        <v>57816</v>
      </c>
      <c r="R17" s="50"/>
      <c r="S17" s="954" t="s">
        <v>157</v>
      </c>
      <c r="T17" s="833"/>
      <c r="U17" s="833"/>
      <c r="V17" s="951">
        <f>IF('Emp.-Detail'!F14="NO",F37,0)</f>
        <v>8508</v>
      </c>
      <c r="W17" s="951"/>
      <c r="X17" s="833" t="s">
        <v>167</v>
      </c>
      <c r="Y17" s="833"/>
      <c r="Z17" s="833"/>
      <c r="AA17" s="833"/>
      <c r="AB17" s="833"/>
      <c r="AC17" s="833"/>
      <c r="AD17" s="831">
        <f>F45</f>
        <v>0</v>
      </c>
      <c r="AE17" s="831"/>
      <c r="AF17" s="955"/>
      <c r="AG17" s="17"/>
    </row>
    <row r="18" spans="1:34" ht="19.5" customHeight="1">
      <c r="A18" s="187">
        <v>10</v>
      </c>
      <c r="B18" s="286">
        <v>42705</v>
      </c>
      <c r="C18" s="192">
        <f t="shared" si="6"/>
        <v>23990</v>
      </c>
      <c r="D18" s="190">
        <f>ROUND(C18*131%,0)</f>
        <v>31427</v>
      </c>
      <c r="E18" s="191">
        <f t="shared" si="0"/>
        <v>5542</v>
      </c>
      <c r="F18" s="190">
        <f t="shared" si="1"/>
        <v>2399</v>
      </c>
      <c r="G18" s="192">
        <f t="shared" si="5"/>
        <v>0</v>
      </c>
      <c r="H18" s="192">
        <f t="shared" si="5"/>
        <v>0</v>
      </c>
      <c r="I18" s="192">
        <v>0</v>
      </c>
      <c r="J18" s="192">
        <v>0</v>
      </c>
      <c r="K18" s="190">
        <f t="shared" si="2"/>
        <v>0</v>
      </c>
      <c r="L18" s="190">
        <v>0</v>
      </c>
      <c r="M18" s="190">
        <v>0</v>
      </c>
      <c r="N18" s="190">
        <v>0</v>
      </c>
      <c r="O18" s="190">
        <v>0</v>
      </c>
      <c r="P18" s="193">
        <v>0</v>
      </c>
      <c r="Q18" s="290">
        <f t="shared" si="3"/>
        <v>57816</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23990</v>
      </c>
      <c r="D19" s="190">
        <f>ROUND(C19*131%,0)</f>
        <v>31427</v>
      </c>
      <c r="E19" s="191">
        <f t="shared" si="0"/>
        <v>5542</v>
      </c>
      <c r="F19" s="190">
        <f t="shared" si="1"/>
        <v>2399</v>
      </c>
      <c r="G19" s="192">
        <f t="shared" si="5"/>
        <v>0</v>
      </c>
      <c r="H19" s="192">
        <f t="shared" si="5"/>
        <v>0</v>
      </c>
      <c r="I19" s="192">
        <v>0</v>
      </c>
      <c r="J19" s="192">
        <v>0</v>
      </c>
      <c r="K19" s="190">
        <f t="shared" si="2"/>
        <v>0</v>
      </c>
      <c r="L19" s="190">
        <v>0</v>
      </c>
      <c r="M19" s="190">
        <v>0</v>
      </c>
      <c r="N19" s="190">
        <v>0</v>
      </c>
      <c r="O19" s="190">
        <v>0</v>
      </c>
      <c r="P19" s="193">
        <v>0</v>
      </c>
      <c r="Q19" s="290">
        <f t="shared" si="3"/>
        <v>57816</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23990</v>
      </c>
      <c r="D20" s="190">
        <f>ROUND(C20*131%,0)</f>
        <v>31427</v>
      </c>
      <c r="E20" s="191">
        <f t="shared" si="0"/>
        <v>5542</v>
      </c>
      <c r="F20" s="190">
        <f t="shared" si="1"/>
        <v>2399</v>
      </c>
      <c r="G20" s="192">
        <f t="shared" si="5"/>
        <v>0</v>
      </c>
      <c r="H20" s="192">
        <f t="shared" si="5"/>
        <v>0</v>
      </c>
      <c r="I20" s="192">
        <v>0</v>
      </c>
      <c r="J20" s="192">
        <v>0</v>
      </c>
      <c r="K20" s="190">
        <f t="shared" si="2"/>
        <v>0</v>
      </c>
      <c r="L20" s="190">
        <v>0</v>
      </c>
      <c r="M20" s="190">
        <v>0</v>
      </c>
      <c r="N20" s="190">
        <v>0</v>
      </c>
      <c r="O20" s="190">
        <v>0</v>
      </c>
      <c r="P20" s="193">
        <v>0</v>
      </c>
      <c r="Q20" s="290">
        <f t="shared" si="3"/>
        <v>57816</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285080</v>
      </c>
      <c r="D21" s="287">
        <f>SUM(D9:D20)</f>
        <v>362153</v>
      </c>
      <c r="E21" s="288">
        <f>SUM(E9:E20)</f>
        <v>64725</v>
      </c>
      <c r="F21" s="287">
        <f>SUM(F9:F20)</f>
        <v>28508</v>
      </c>
      <c r="G21" s="287">
        <f t="shared" si="7"/>
        <v>0</v>
      </c>
      <c r="H21" s="287">
        <f>SUM(H9:H20)</f>
        <v>0</v>
      </c>
      <c r="I21" s="287">
        <f t="shared" si="7"/>
        <v>4191</v>
      </c>
      <c r="J21" s="287">
        <f t="shared" si="7"/>
        <v>4317</v>
      </c>
      <c r="K21" s="287">
        <f>SUM(K9:K20)</f>
        <v>851</v>
      </c>
      <c r="L21" s="287">
        <f t="shared" si="7"/>
        <v>0</v>
      </c>
      <c r="M21" s="287">
        <f t="shared" si="7"/>
        <v>0</v>
      </c>
      <c r="N21" s="287">
        <f t="shared" si="7"/>
        <v>0</v>
      </c>
      <c r="O21" s="287">
        <f>SUM(O9:O20)</f>
        <v>0</v>
      </c>
      <c r="P21" s="289">
        <f>SUM(P9:P20)</f>
        <v>0</v>
      </c>
      <c r="Q21" s="84">
        <f>SUM(Q9:Q20)</f>
        <v>684249</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IF('Emp.-Detail'!F14="yes",E9)+IF('Emp.-Detail'!F14="NO",0)</f>
        <v>0</v>
      </c>
      <c r="D25" s="192">
        <f>IF('Emp.-Detail'!F14="YES",K9)+IF('Emp.-Detail'!F14="NO",I9,0)</f>
        <v>4191</v>
      </c>
      <c r="E25" s="195"/>
      <c r="F25" s="287">
        <f>SUM(C25:D25)</f>
        <v>4191</v>
      </c>
      <c r="G25" s="192">
        <v>0</v>
      </c>
      <c r="H25" s="194">
        <v>0</v>
      </c>
      <c r="I25" s="192">
        <v>3000</v>
      </c>
      <c r="J25" s="195">
        <v>0</v>
      </c>
      <c r="K25" s="195"/>
      <c r="L25" s="195">
        <v>0</v>
      </c>
      <c r="M25" s="196">
        <v>595</v>
      </c>
      <c r="N25" s="196">
        <v>0</v>
      </c>
      <c r="O25" s="196">
        <v>2000</v>
      </c>
      <c r="P25" s="192">
        <v>0</v>
      </c>
      <c r="Q25" s="297">
        <f>SUM(F25:P25)</f>
        <v>9786</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IF('Emp.-Detail'!F14="yes",E10)+IF('Emp.-Detail'!F14="NO",0)</f>
        <v>0</v>
      </c>
      <c r="D26" s="192">
        <f>IF('Emp.-Detail'!F14="YES",K10)+IF('Emp.-Detail'!F14="NO",I10,0)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2000</v>
      </c>
      <c r="P26" s="194">
        <f>'Emp.-Detail'!AB9+'Emp.-Detail'!AB9*14.5%</f>
        <v>251.9</v>
      </c>
      <c r="Q26" s="297">
        <f t="shared" ref="Q26:Q36" si="11">SUM(F26:P26)</f>
        <v>5846.9</v>
      </c>
      <c r="R26" s="50"/>
      <c r="S26" s="1089" t="s">
        <v>279</v>
      </c>
      <c r="T26" s="1090"/>
      <c r="U26" s="1090"/>
      <c r="V26" s="1090"/>
      <c r="W26" s="1090"/>
      <c r="X26" s="1090"/>
      <c r="Y26" s="1090"/>
      <c r="Z26" s="1090"/>
      <c r="AA26" s="1091"/>
      <c r="AB26" s="942">
        <f>SUM(V17:V25)+SUM(AD17:AD25)</f>
        <v>44728</v>
      </c>
      <c r="AC26" s="957"/>
      <c r="AD26" s="1135">
        <f>IF(AB26&lt;=150000,AB26,150000)+AD25</f>
        <v>44728</v>
      </c>
      <c r="AE26" s="1136"/>
      <c r="AF26" s="1137"/>
      <c r="AG26" s="17"/>
    </row>
    <row r="27" spans="1:34" ht="19.5" customHeight="1">
      <c r="A27" s="187">
        <v>3</v>
      </c>
      <c r="B27" s="296">
        <f t="shared" si="8"/>
        <v>42491</v>
      </c>
      <c r="C27" s="192">
        <f>IF('Emp.-Detail'!F14="yes",E11)+IF('Emp.-Detail'!F14="NO",0)</f>
        <v>0</v>
      </c>
      <c r="D27" s="192">
        <f>IF('Emp.-Detail'!F14="YES",K11)+IF('Emp.-Detail'!F14="NO",I11,0)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2000</v>
      </c>
      <c r="P27" s="192">
        <v>0</v>
      </c>
      <c r="Q27" s="297">
        <f t="shared" si="11"/>
        <v>5595</v>
      </c>
      <c r="R27" s="50"/>
      <c r="S27" s="1085" t="s">
        <v>592</v>
      </c>
      <c r="T27" s="1086"/>
      <c r="U27" s="1086"/>
      <c r="V27" s="1086"/>
      <c r="W27" s="1086"/>
      <c r="X27" s="1086"/>
      <c r="Y27" s="1086"/>
      <c r="Z27" s="1086"/>
      <c r="AA27" s="1086"/>
      <c r="AB27" s="1087">
        <f>AB5</f>
        <v>0</v>
      </c>
      <c r="AC27" s="1088"/>
      <c r="AD27" s="831">
        <f>AD15-(AD26+AB5)</f>
        <v>639521</v>
      </c>
      <c r="AE27" s="831"/>
      <c r="AF27" s="955"/>
      <c r="AG27" s="17"/>
    </row>
    <row r="28" spans="1:34" ht="19.5" customHeight="1">
      <c r="A28" s="187">
        <v>4</v>
      </c>
      <c r="B28" s="296">
        <f t="shared" si="8"/>
        <v>42522</v>
      </c>
      <c r="C28" s="192">
        <f>IF('Emp.-Detail'!F14="yes",E12)+IF('Emp.-Detail'!F14="NO",0)</f>
        <v>0</v>
      </c>
      <c r="D28" s="192">
        <f>IF('Emp.-Detail'!F14="YES",K12)+IF('Emp.-Detail'!F14="NO",I12,0)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2000</v>
      </c>
      <c r="P28" s="192">
        <v>0</v>
      </c>
      <c r="Q28" s="297">
        <f t="shared" si="11"/>
        <v>5595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IF('Emp.-Detail'!F14="yes",E13)+IF('Emp.-Detail'!F14="NO",0)</f>
        <v>0</v>
      </c>
      <c r="D29" s="192">
        <f>IF('Emp.-Detail'!F14="YES",K13)+IF('Emp.-Detail'!F14="NO",I13,0)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2000</v>
      </c>
      <c r="P29" s="192">
        <v>0</v>
      </c>
      <c r="Q29" s="297">
        <f t="shared" si="11"/>
        <v>5595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IF('Emp.-Detail'!F14="yes",E14)+IF('Emp.-Detail'!F14="NO",0)</f>
        <v>0</v>
      </c>
      <c r="D30" s="192">
        <f>IF('Emp.-Detail'!F14="YES",K14)+IF('Emp.-Detail'!F14="NO",J14,0)</f>
        <v>4317</v>
      </c>
      <c r="E30" s="195"/>
      <c r="F30" s="287">
        <f t="shared" si="9"/>
        <v>4317</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2000</v>
      </c>
      <c r="P30" s="192">
        <v>0</v>
      </c>
      <c r="Q30" s="297">
        <f t="shared" si="11"/>
        <v>9912</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IF('Emp.-Detail'!F14="yes",E15)+IF('Emp.-Detail'!F14="NO",0)</f>
        <v>0</v>
      </c>
      <c r="D31" s="192">
        <f>IF('Emp.-Detail'!F14="YES",K15)+IF('Emp.-Detail'!F14="NO",J15,0)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2000</v>
      </c>
      <c r="P31" s="192">
        <v>0</v>
      </c>
      <c r="Q31" s="297">
        <f t="shared" si="11"/>
        <v>5595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IF('Emp.-Detail'!F14="yes",E16)+IF('Emp.-Detail'!F14="NO",0)</f>
        <v>0</v>
      </c>
      <c r="D32" s="192">
        <f>IF('Emp.-Detail'!F14="YES",K16)+IF('Emp.-Detail'!F14="NO",J16,0)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2000</v>
      </c>
      <c r="P32" s="192">
        <v>0</v>
      </c>
      <c r="Q32" s="297">
        <f t="shared" si="11"/>
        <v>5595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IF('Emp.-Detail'!F14="yes",E17)+IF('Emp.-Detail'!F14="NO",0)</f>
        <v>0</v>
      </c>
      <c r="D33" s="192">
        <f>IF('Emp.-Detail'!F14="YES",K17)+IF('Emp.-Detail'!F14="NO",J17,0)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2000</v>
      </c>
      <c r="P33" s="192">
        <v>0</v>
      </c>
      <c r="Q33" s="297">
        <f t="shared" si="11"/>
        <v>5595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IF('Emp.-Detail'!F14="yes",E18)+IF('Emp.-Detail'!F14="NO",0)</f>
        <v>0</v>
      </c>
      <c r="D34" s="192">
        <f>IF('Emp.-Detail'!F14="YES",K18)+IF('Emp.-Detail'!F14="NO",J18,0)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2000</v>
      </c>
      <c r="P34" s="192">
        <v>0</v>
      </c>
      <c r="Q34" s="297">
        <f t="shared" si="11"/>
        <v>5595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IF('Emp.-Detail'!F14="yes",E19)+IF('Emp.-Detail'!F14="NO",0)</f>
        <v>0</v>
      </c>
      <c r="D35" s="192">
        <f>IF('Emp.-Detail'!F14="YES",K19)+IF('Emp.-Detail'!F14="NO",J19,0)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2000</v>
      </c>
      <c r="P35" s="192">
        <v>0</v>
      </c>
      <c r="Q35" s="297">
        <f t="shared" si="11"/>
        <v>5595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IF('Emp.-Detail'!F14="yes",E20)+IF('Emp.-Detail'!F14="NO",0)</f>
        <v>0</v>
      </c>
      <c r="D36" s="192">
        <f>IF('Emp.-Detail'!F14="YES",K20)+IF('Emp.-Detail'!F14="NO",J20,0)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2000</v>
      </c>
      <c r="P36" s="192">
        <v>0</v>
      </c>
      <c r="Q36" s="297">
        <f t="shared" si="11"/>
        <v>5595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8508</v>
      </c>
      <c r="E37" s="306"/>
      <c r="F37" s="307">
        <f t="shared" si="9"/>
        <v>8508</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24000</v>
      </c>
      <c r="P37" s="288">
        <f t="shared" si="12"/>
        <v>251.9</v>
      </c>
      <c r="Q37" s="305">
        <f t="shared" si="12"/>
        <v>75899.899999999994</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684249</v>
      </c>
      <c r="D38" s="860"/>
      <c r="E38" s="309"/>
      <c r="F38" s="310"/>
      <c r="G38" s="1001" t="s">
        <v>13</v>
      </c>
      <c r="H38" s="1001"/>
      <c r="I38" s="1001"/>
      <c r="J38" s="860">
        <f>Q37</f>
        <v>75899.899999999994</v>
      </c>
      <c r="K38" s="860"/>
      <c r="L38" s="860"/>
      <c r="M38" s="310"/>
      <c r="N38" s="998" t="s">
        <v>15</v>
      </c>
      <c r="O38" s="998"/>
      <c r="P38" s="860">
        <f>Q21-Q37</f>
        <v>608349.1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639521</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639520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52904</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52904</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1058</v>
      </c>
      <c r="V43" s="949"/>
      <c r="W43" s="949"/>
      <c r="X43" s="1067" t="s">
        <v>84</v>
      </c>
      <c r="Y43" s="1067"/>
      <c r="Z43" s="1067"/>
      <c r="AA43" s="953">
        <f>ROUND((AD42*1%),0)</f>
        <v>529</v>
      </c>
      <c r="AB43" s="953"/>
      <c r="AC43" s="953"/>
      <c r="AD43" s="951">
        <f>U43+AA43</f>
        <v>1587</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54491</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IF('Emp.-Detail'!F14="NO",0,ROUND(E21+K21,0))</f>
        <v>0</v>
      </c>
      <c r="Q46" s="943"/>
      <c r="R46" s="22"/>
      <c r="S46" s="1071" t="s">
        <v>87</v>
      </c>
      <c r="T46" s="1072"/>
      <c r="U46" s="1072"/>
      <c r="V46" s="1072"/>
      <c r="W46" s="1072"/>
      <c r="X46" s="1072"/>
      <c r="Y46" s="1072"/>
      <c r="Z46" s="1072"/>
      <c r="AA46" s="1072"/>
      <c r="AB46" s="1072"/>
      <c r="AC46" s="1072"/>
      <c r="AD46" s="796">
        <f>AD44-AD45</f>
        <v>54491</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30491</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 xml:space="preserve">CHANDAR KALA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684249</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684249</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684249</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 xml:space="preserve">CHANDAR KALA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ACNPV0041M</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9785340293</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684249</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'Emp.-Detail'!O14</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8508</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166989</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171803</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172009</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173448</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684249</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44728</v>
      </c>
      <c r="AC81" s="1113"/>
      <c r="AD81" s="773">
        <f>AD26</f>
        <v>44728</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'Emp.-Detail'!N14</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'Emp.-Detail'!N14</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'Emp.-Detail'!N14</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'Emp.-Detail'!J14</f>
        <v>0</v>
      </c>
      <c r="C87" s="788"/>
      <c r="D87" s="776"/>
      <c r="E87" s="257"/>
      <c r="F87" s="1233" t="str">
        <f>'Emp.-Detail'!K14</f>
        <v>0</v>
      </c>
      <c r="G87" s="791"/>
      <c r="H87" s="791"/>
      <c r="I87" s="792"/>
      <c r="J87" s="810" t="str">
        <f>'Emp.-Detail'!L14</f>
        <v>00/00/0000</v>
      </c>
      <c r="K87" s="811"/>
      <c r="L87" s="811"/>
      <c r="M87" s="812"/>
      <c r="N87" s="1233" t="str">
        <f>'Emp.-Detail'!M14</f>
        <v>00</v>
      </c>
      <c r="O87" s="792"/>
      <c r="P87" s="793" t="str">
        <f>'Emp.-Detail'!N14</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44728</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639520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52904</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1587</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54491</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54491</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684249</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684249</v>
      </c>
      <c r="P104" s="776"/>
      <c r="Q104" s="258">
        <f>O104</f>
        <v>684249</v>
      </c>
      <c r="R104" s="235"/>
      <c r="S104" s="254"/>
      <c r="T104" s="229" t="str">
        <f>'DDO '!L10</f>
        <v>PRINCIPAL</v>
      </c>
      <c r="U104" s="229"/>
      <c r="V104" s="780" t="s">
        <v>51</v>
      </c>
      <c r="W104" s="780"/>
      <c r="X104" s="780"/>
      <c r="Y104" s="780"/>
      <c r="Z104" s="770">
        <f>AD100</f>
        <v>54491</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FIFTY  FOUR  Thousand  FOUR  Hundred  NINETY  ONE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684249</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684249</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684249</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1"/>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1.xml><?xml version="1.0" encoding="utf-8"?>
<worksheet xmlns="http://schemas.openxmlformats.org/spreadsheetml/2006/main" xmlns:r="http://schemas.openxmlformats.org/officeDocument/2006/relationships">
  <dimension ref="A1:AJ150"/>
  <sheetViews>
    <sheetView view="pageBreakPreview" topLeftCell="A16" zoomScaleSheetLayoutView="100" workbookViewId="0">
      <selection activeCell="O25" sqref="O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BHOMA RAM MEENA</v>
      </c>
      <c r="T3" s="538"/>
      <c r="U3" s="538"/>
      <c r="V3" s="538"/>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'Emp.-Detail'!B15</f>
        <v>BHOMA RAM MEENA</v>
      </c>
      <c r="E4" s="949"/>
      <c r="F4" s="949"/>
      <c r="G4" s="949"/>
      <c r="H4" s="949"/>
      <c r="I4" s="854"/>
      <c r="J4" s="1185">
        <f>'Emp.-Detail'!A15</f>
        <v>7</v>
      </c>
      <c r="K4" s="1186"/>
      <c r="L4" s="1187"/>
      <c r="M4" s="982" t="s">
        <v>8</v>
      </c>
      <c r="N4" s="833"/>
      <c r="O4" s="833"/>
      <c r="P4" s="949" t="str">
        <f>'Emp.-Detail'!C15</f>
        <v>Lecturer</v>
      </c>
      <c r="Q4" s="950"/>
      <c r="R4" s="50"/>
      <c r="S4" s="1250" t="str">
        <f>D5</f>
        <v>ACLPM3827E</v>
      </c>
      <c r="T4" s="538"/>
      <c r="U4" s="538"/>
      <c r="V4" s="538"/>
      <c r="W4" s="959" t="str">
        <f>'Emp.-Detail'!H15</f>
        <v>61136005681</v>
      </c>
      <c r="X4" s="949"/>
      <c r="Y4" s="949"/>
      <c r="Z4" s="949"/>
      <c r="AA4" s="949" t="str">
        <f>'Emp.-Detail'!I15</f>
        <v>SBBJ,Salasar</v>
      </c>
      <c r="AB4" s="949"/>
      <c r="AC4" s="949"/>
      <c r="AD4" s="949"/>
      <c r="AE4" s="949"/>
      <c r="AF4" s="950"/>
      <c r="AG4" s="17"/>
    </row>
    <row r="5" spans="1:33" ht="19.5" customHeight="1" thickBot="1">
      <c r="A5" s="954" t="s">
        <v>135</v>
      </c>
      <c r="B5" s="833"/>
      <c r="C5" s="833"/>
      <c r="D5" s="949" t="str">
        <f>'Emp.-Detail'!D15</f>
        <v>ACLPM3827E</v>
      </c>
      <c r="E5" s="949"/>
      <c r="F5" s="949"/>
      <c r="G5" s="949"/>
      <c r="H5" s="949"/>
      <c r="I5" s="854"/>
      <c r="J5" s="1188"/>
      <c r="K5" s="1189"/>
      <c r="L5" s="1190"/>
      <c r="M5" s="982" t="s">
        <v>137</v>
      </c>
      <c r="N5" s="833"/>
      <c r="O5" s="833"/>
      <c r="P5" s="959">
        <f>'Emp.-Detail'!G15</f>
        <v>9828052270</v>
      </c>
      <c r="Q5" s="950"/>
      <c r="R5" s="50"/>
      <c r="S5" s="974" t="s">
        <v>203</v>
      </c>
      <c r="T5" s="975"/>
      <c r="U5" s="975"/>
      <c r="V5" s="975"/>
      <c r="W5" s="951">
        <f>SUM(Q9:Q20)</f>
        <v>618582</v>
      </c>
      <c r="X5" s="951"/>
      <c r="Y5" s="976" t="s">
        <v>202</v>
      </c>
      <c r="Z5" s="976"/>
      <c r="AA5" s="976"/>
      <c r="AB5" s="951">
        <f>P46</f>
        <v>0</v>
      </c>
      <c r="AC5" s="949"/>
      <c r="AD5" s="941">
        <f>W5+AB5</f>
        <v>618582</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618582</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618582</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618582</v>
      </c>
      <c r="AE8" s="942"/>
      <c r="AF8" s="943"/>
      <c r="AG8" s="17"/>
    </row>
    <row r="9" spans="1:33" ht="19.5" customHeight="1">
      <c r="A9" s="285">
        <v>1</v>
      </c>
      <c r="B9" s="286">
        <v>42430</v>
      </c>
      <c r="C9" s="190">
        <f>'Emp.-Detail'!E15</f>
        <v>21050</v>
      </c>
      <c r="D9" s="190">
        <f>ROUND(C9*119%,0)</f>
        <v>25050</v>
      </c>
      <c r="E9" s="191">
        <f>ROUND((C9+D9)*10%,0)</f>
        <v>4610</v>
      </c>
      <c r="F9" s="190">
        <f>ROUND(C9*10%,0)</f>
        <v>2105</v>
      </c>
      <c r="G9" s="190">
        <v>0</v>
      </c>
      <c r="H9" s="190">
        <v>0</v>
      </c>
      <c r="I9" s="192">
        <f>ROUND(C9*6%,0)*3</f>
        <v>3789</v>
      </c>
      <c r="J9" s="190">
        <v>0</v>
      </c>
      <c r="K9" s="190">
        <f>ROUND((I9+J9)*10%,0)</f>
        <v>379</v>
      </c>
      <c r="L9" s="190">
        <v>0</v>
      </c>
      <c r="M9" s="190">
        <v>0</v>
      </c>
      <c r="N9" s="190">
        <v>0</v>
      </c>
      <c r="O9" s="190">
        <v>0</v>
      </c>
      <c r="P9" s="193">
        <v>0</v>
      </c>
      <c r="Q9" s="290">
        <f>C9+D9+F9+G9+H9+I9+J9+L9+M9+N9+O9</f>
        <v>51994</v>
      </c>
      <c r="R9" s="282"/>
      <c r="S9" s="984" t="s">
        <v>144</v>
      </c>
      <c r="T9" s="985"/>
      <c r="U9" s="985"/>
      <c r="V9" s="985"/>
      <c r="W9" s="985"/>
      <c r="X9" s="985"/>
      <c r="Y9" s="985"/>
      <c r="Z9" s="971" t="s">
        <v>18</v>
      </c>
      <c r="AA9" s="971"/>
      <c r="AB9" s="967">
        <f>O49</f>
        <v>0</v>
      </c>
      <c r="AC9" s="968"/>
      <c r="AD9" s="977">
        <f>AD8+AB9</f>
        <v>618582</v>
      </c>
      <c r="AE9" s="978"/>
      <c r="AF9" s="979"/>
      <c r="AG9" s="17"/>
    </row>
    <row r="10" spans="1:33" ht="19.5" customHeight="1">
      <c r="A10" s="187">
        <v>2</v>
      </c>
      <c r="B10" s="286">
        <v>42461</v>
      </c>
      <c r="C10" s="192">
        <f>C9</f>
        <v>21050</v>
      </c>
      <c r="D10" s="190">
        <f>ROUND(C10*125%,0)</f>
        <v>26313</v>
      </c>
      <c r="E10" s="191">
        <f t="shared" ref="E10:E20" si="0">ROUND((C10+D10)*10%,0)</f>
        <v>4736</v>
      </c>
      <c r="F10" s="190">
        <f t="shared" ref="F10:F20" si="1">ROUND(C10*10%,0)</f>
        <v>2105</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49468</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21050</v>
      </c>
      <c r="D11" s="190">
        <f t="shared" ref="D11:D15" si="4">ROUND(C11*125%,0)</f>
        <v>26313</v>
      </c>
      <c r="E11" s="191">
        <f t="shared" si="0"/>
        <v>4736</v>
      </c>
      <c r="F11" s="190">
        <f t="shared" si="1"/>
        <v>2105</v>
      </c>
      <c r="G11" s="192">
        <f t="shared" ref="G11:H20" si="5">G10</f>
        <v>0</v>
      </c>
      <c r="H11" s="192">
        <f t="shared" si="5"/>
        <v>0</v>
      </c>
      <c r="I11" s="192">
        <v>0</v>
      </c>
      <c r="J11" s="190">
        <v>0</v>
      </c>
      <c r="K11" s="190">
        <f t="shared" si="2"/>
        <v>0</v>
      </c>
      <c r="L11" s="190">
        <v>0</v>
      </c>
      <c r="M11" s="190">
        <v>0</v>
      </c>
      <c r="N11" s="190">
        <v>0</v>
      </c>
      <c r="O11" s="190">
        <v>0</v>
      </c>
      <c r="P11" s="193">
        <v>0</v>
      </c>
      <c r="Q11" s="290">
        <f t="shared" si="3"/>
        <v>49468</v>
      </c>
      <c r="R11" s="50"/>
      <c r="S11" s="292" t="s">
        <v>146</v>
      </c>
      <c r="T11" s="958">
        <f>O50</f>
        <v>0</v>
      </c>
      <c r="U11" s="948"/>
      <c r="V11" s="980">
        <f>O51</f>
        <v>0</v>
      </c>
      <c r="W11" s="958"/>
      <c r="X11" s="948"/>
      <c r="Y11" s="980">
        <f>Q49</f>
        <v>0</v>
      </c>
      <c r="Z11" s="958"/>
      <c r="AA11" s="948"/>
      <c r="AB11" s="980">
        <f>T11+V11+Y11</f>
        <v>0</v>
      </c>
      <c r="AC11" s="948"/>
      <c r="AD11" s="941">
        <f>AD9-AB11</f>
        <v>618582</v>
      </c>
      <c r="AE11" s="942"/>
      <c r="AF11" s="943"/>
      <c r="AG11" s="17"/>
    </row>
    <row r="12" spans="1:33" ht="19.5" customHeight="1">
      <c r="A12" s="187">
        <v>4</v>
      </c>
      <c r="B12" s="286">
        <v>42522</v>
      </c>
      <c r="C12" s="192">
        <f>C11</f>
        <v>21050</v>
      </c>
      <c r="D12" s="190">
        <f t="shared" si="4"/>
        <v>26313</v>
      </c>
      <c r="E12" s="191">
        <f t="shared" si="0"/>
        <v>4736</v>
      </c>
      <c r="F12" s="190">
        <f t="shared" si="1"/>
        <v>2105</v>
      </c>
      <c r="G12" s="192">
        <f t="shared" si="5"/>
        <v>0</v>
      </c>
      <c r="H12" s="192">
        <f t="shared" si="5"/>
        <v>0</v>
      </c>
      <c r="I12" s="192">
        <v>0</v>
      </c>
      <c r="J12" s="190">
        <v>0</v>
      </c>
      <c r="K12" s="190">
        <f t="shared" si="2"/>
        <v>0</v>
      </c>
      <c r="L12" s="190">
        <v>0</v>
      </c>
      <c r="M12" s="190">
        <v>0</v>
      </c>
      <c r="N12" s="190">
        <v>0</v>
      </c>
      <c r="O12" s="190">
        <v>0</v>
      </c>
      <c r="P12" s="193">
        <v>0</v>
      </c>
      <c r="Q12" s="290">
        <f t="shared" si="3"/>
        <v>49468</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21690</v>
      </c>
      <c r="D13" s="190">
        <f t="shared" si="4"/>
        <v>27113</v>
      </c>
      <c r="E13" s="191">
        <f t="shared" si="0"/>
        <v>4880</v>
      </c>
      <c r="F13" s="190">
        <f t="shared" si="1"/>
        <v>2169</v>
      </c>
      <c r="G13" s="192">
        <f t="shared" si="5"/>
        <v>0</v>
      </c>
      <c r="H13" s="192">
        <f t="shared" si="5"/>
        <v>0</v>
      </c>
      <c r="I13" s="192">
        <v>0</v>
      </c>
      <c r="J13" s="190">
        <v>0</v>
      </c>
      <c r="K13" s="190">
        <f t="shared" si="2"/>
        <v>0</v>
      </c>
      <c r="L13" s="190">
        <v>0</v>
      </c>
      <c r="M13" s="190">
        <v>0</v>
      </c>
      <c r="N13" s="190">
        <v>0</v>
      </c>
      <c r="O13" s="190">
        <v>0</v>
      </c>
      <c r="P13" s="193">
        <v>0</v>
      </c>
      <c r="Q13" s="290">
        <f t="shared" si="3"/>
        <v>50972</v>
      </c>
      <c r="R13" s="70"/>
      <c r="S13" s="991">
        <f>O52</f>
        <v>0</v>
      </c>
      <c r="T13" s="948"/>
      <c r="U13" s="980">
        <f>O53</f>
        <v>0</v>
      </c>
      <c r="V13" s="948"/>
      <c r="W13" s="980">
        <f>O54</f>
        <v>0</v>
      </c>
      <c r="X13" s="948"/>
      <c r="Y13" s="980">
        <f>O55</f>
        <v>0</v>
      </c>
      <c r="Z13" s="958"/>
      <c r="AA13" s="958"/>
      <c r="AB13" s="951">
        <f>SUM(S13:AA13)</f>
        <v>0</v>
      </c>
      <c r="AC13" s="951"/>
      <c r="AD13" s="941">
        <f>AD11+AB13</f>
        <v>618582</v>
      </c>
      <c r="AE13" s="965"/>
      <c r="AF13" s="966"/>
      <c r="AG13" s="17"/>
    </row>
    <row r="14" spans="1:33" ht="19.5" customHeight="1">
      <c r="A14" s="187">
        <v>6</v>
      </c>
      <c r="B14" s="286">
        <v>42583</v>
      </c>
      <c r="C14" s="192">
        <f t="shared" ref="C14:C20" si="6">C13</f>
        <v>21690</v>
      </c>
      <c r="D14" s="190">
        <f>ROUND(C14*125%,0)</f>
        <v>27113</v>
      </c>
      <c r="E14" s="191">
        <f t="shared" si="0"/>
        <v>4880</v>
      </c>
      <c r="F14" s="190">
        <f t="shared" si="1"/>
        <v>2169</v>
      </c>
      <c r="G14" s="192">
        <f t="shared" si="5"/>
        <v>0</v>
      </c>
      <c r="H14" s="192">
        <f t="shared" si="5"/>
        <v>0</v>
      </c>
      <c r="I14" s="192">
        <v>0</v>
      </c>
      <c r="J14" s="192">
        <f>ROUND(C13*6%,0)*3</f>
        <v>3903</v>
      </c>
      <c r="K14" s="190">
        <f t="shared" si="2"/>
        <v>390</v>
      </c>
      <c r="L14" s="190">
        <v>0</v>
      </c>
      <c r="M14" s="190">
        <v>0</v>
      </c>
      <c r="N14" s="190">
        <v>0</v>
      </c>
      <c r="O14" s="190">
        <v>0</v>
      </c>
      <c r="P14" s="193">
        <v>0</v>
      </c>
      <c r="Q14" s="290">
        <f t="shared" si="3"/>
        <v>54875</v>
      </c>
      <c r="R14" s="50"/>
      <c r="S14" s="954" t="s">
        <v>19</v>
      </c>
      <c r="T14" s="833"/>
      <c r="U14" s="833"/>
      <c r="V14" s="833"/>
      <c r="W14" s="833"/>
      <c r="X14" s="833"/>
      <c r="Y14" s="833"/>
      <c r="Z14" s="833"/>
      <c r="AA14" s="951">
        <f>I55</f>
        <v>0</v>
      </c>
      <c r="AB14" s="951"/>
      <c r="AC14" s="951"/>
      <c r="AD14" s="941">
        <f>AD13+AA14</f>
        <v>618582</v>
      </c>
      <c r="AE14" s="942"/>
      <c r="AF14" s="943"/>
      <c r="AG14" s="17"/>
    </row>
    <row r="15" spans="1:33" ht="19.5" customHeight="1">
      <c r="A15" s="187">
        <v>7</v>
      </c>
      <c r="B15" s="286">
        <v>42614</v>
      </c>
      <c r="C15" s="192">
        <f t="shared" si="6"/>
        <v>21690</v>
      </c>
      <c r="D15" s="190">
        <f t="shared" si="4"/>
        <v>27113</v>
      </c>
      <c r="E15" s="191">
        <f t="shared" si="0"/>
        <v>4880</v>
      </c>
      <c r="F15" s="190">
        <f t="shared" si="1"/>
        <v>2169</v>
      </c>
      <c r="G15" s="192">
        <f t="shared" si="5"/>
        <v>0</v>
      </c>
      <c r="H15" s="192">
        <f t="shared" si="5"/>
        <v>0</v>
      </c>
      <c r="I15" s="192">
        <v>0</v>
      </c>
      <c r="J15" s="192">
        <v>0</v>
      </c>
      <c r="K15" s="190">
        <f t="shared" si="2"/>
        <v>0</v>
      </c>
      <c r="L15" s="190">
        <v>0</v>
      </c>
      <c r="M15" s="190">
        <v>0</v>
      </c>
      <c r="N15" s="190">
        <v>0</v>
      </c>
      <c r="O15" s="190">
        <v>0</v>
      </c>
      <c r="P15" s="193">
        <v>0</v>
      </c>
      <c r="Q15" s="290">
        <f t="shared" si="3"/>
        <v>50972</v>
      </c>
      <c r="R15" s="50"/>
      <c r="S15" s="992" t="s">
        <v>20</v>
      </c>
      <c r="T15" s="993"/>
      <c r="U15" s="993"/>
      <c r="V15" s="993"/>
      <c r="W15" s="993"/>
      <c r="X15" s="993"/>
      <c r="Y15" s="993"/>
      <c r="Z15" s="993"/>
      <c r="AA15" s="993"/>
      <c r="AB15" s="993"/>
      <c r="AC15" s="993"/>
      <c r="AD15" s="941">
        <f>AD14</f>
        <v>618582</v>
      </c>
      <c r="AE15" s="942"/>
      <c r="AF15" s="943"/>
      <c r="AG15" s="17"/>
    </row>
    <row r="16" spans="1:33" ht="19.5" customHeight="1">
      <c r="A16" s="187">
        <v>8</v>
      </c>
      <c r="B16" s="286">
        <v>42644</v>
      </c>
      <c r="C16" s="192">
        <f t="shared" si="6"/>
        <v>21690</v>
      </c>
      <c r="D16" s="190">
        <f>ROUND(C16*131%,0)</f>
        <v>28414</v>
      </c>
      <c r="E16" s="191">
        <f t="shared" si="0"/>
        <v>5010</v>
      </c>
      <c r="F16" s="190">
        <f t="shared" si="1"/>
        <v>2169</v>
      </c>
      <c r="G16" s="192">
        <f t="shared" si="5"/>
        <v>0</v>
      </c>
      <c r="H16" s="192">
        <f t="shared" si="5"/>
        <v>0</v>
      </c>
      <c r="I16" s="192">
        <v>0</v>
      </c>
      <c r="J16" s="192">
        <v>0</v>
      </c>
      <c r="K16" s="190">
        <f t="shared" si="2"/>
        <v>0</v>
      </c>
      <c r="L16" s="190">
        <v>0</v>
      </c>
      <c r="M16" s="190">
        <v>0</v>
      </c>
      <c r="N16" s="190">
        <v>0</v>
      </c>
      <c r="O16" s="190">
        <v>0</v>
      </c>
      <c r="P16" s="193">
        <v>0</v>
      </c>
      <c r="Q16" s="290">
        <f t="shared" si="3"/>
        <v>52273</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21690</v>
      </c>
      <c r="D17" s="190">
        <f>ROUND(C17*131%,0)</f>
        <v>28414</v>
      </c>
      <c r="E17" s="191">
        <f t="shared" si="0"/>
        <v>5010</v>
      </c>
      <c r="F17" s="190">
        <f t="shared" si="1"/>
        <v>2169</v>
      </c>
      <c r="G17" s="192">
        <f t="shared" si="5"/>
        <v>0</v>
      </c>
      <c r="H17" s="192">
        <f t="shared" si="5"/>
        <v>0</v>
      </c>
      <c r="I17" s="192">
        <v>0</v>
      </c>
      <c r="J17" s="192">
        <v>0</v>
      </c>
      <c r="K17" s="190">
        <f t="shared" si="2"/>
        <v>0</v>
      </c>
      <c r="L17" s="190">
        <v>0</v>
      </c>
      <c r="M17" s="190">
        <v>0</v>
      </c>
      <c r="N17" s="190">
        <v>0</v>
      </c>
      <c r="O17" s="190">
        <v>0</v>
      </c>
      <c r="P17" s="193">
        <v>0</v>
      </c>
      <c r="Q17" s="290">
        <f t="shared" si="3"/>
        <v>52273</v>
      </c>
      <c r="R17" s="50"/>
      <c r="S17" s="954" t="s">
        <v>157</v>
      </c>
      <c r="T17" s="833"/>
      <c r="U17" s="833"/>
      <c r="V17" s="951">
        <f>IF('Emp.-Detail'!F15="NO",F37,0)</f>
        <v>7692</v>
      </c>
      <c r="W17" s="951"/>
      <c r="X17" s="833" t="s">
        <v>167</v>
      </c>
      <c r="Y17" s="833"/>
      <c r="Z17" s="833"/>
      <c r="AA17" s="833"/>
      <c r="AB17" s="833"/>
      <c r="AC17" s="833"/>
      <c r="AD17" s="831">
        <f>F45</f>
        <v>0</v>
      </c>
      <c r="AE17" s="831"/>
      <c r="AF17" s="955"/>
      <c r="AG17" s="17"/>
    </row>
    <row r="18" spans="1:34" ht="19.5" customHeight="1">
      <c r="A18" s="187">
        <v>10</v>
      </c>
      <c r="B18" s="286">
        <v>42705</v>
      </c>
      <c r="C18" s="192">
        <f t="shared" si="6"/>
        <v>21690</v>
      </c>
      <c r="D18" s="190">
        <f>ROUND(C18*131%,0)</f>
        <v>28414</v>
      </c>
      <c r="E18" s="191">
        <f t="shared" si="0"/>
        <v>5010</v>
      </c>
      <c r="F18" s="190">
        <f t="shared" si="1"/>
        <v>2169</v>
      </c>
      <c r="G18" s="192">
        <f t="shared" si="5"/>
        <v>0</v>
      </c>
      <c r="H18" s="192">
        <f t="shared" si="5"/>
        <v>0</v>
      </c>
      <c r="I18" s="192">
        <v>0</v>
      </c>
      <c r="J18" s="192">
        <v>0</v>
      </c>
      <c r="K18" s="190">
        <f t="shared" si="2"/>
        <v>0</v>
      </c>
      <c r="L18" s="190">
        <v>0</v>
      </c>
      <c r="M18" s="190">
        <v>0</v>
      </c>
      <c r="N18" s="190">
        <v>0</v>
      </c>
      <c r="O18" s="190">
        <v>0</v>
      </c>
      <c r="P18" s="193">
        <v>0</v>
      </c>
      <c r="Q18" s="290">
        <f t="shared" si="3"/>
        <v>52273</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21690</v>
      </c>
      <c r="D19" s="190">
        <f>ROUND(C19*131%,0)</f>
        <v>28414</v>
      </c>
      <c r="E19" s="191">
        <f t="shared" si="0"/>
        <v>5010</v>
      </c>
      <c r="F19" s="190">
        <f t="shared" si="1"/>
        <v>2169</v>
      </c>
      <c r="G19" s="192">
        <f t="shared" si="5"/>
        <v>0</v>
      </c>
      <c r="H19" s="192">
        <f t="shared" si="5"/>
        <v>0</v>
      </c>
      <c r="I19" s="192">
        <v>0</v>
      </c>
      <c r="J19" s="192">
        <v>0</v>
      </c>
      <c r="K19" s="190">
        <f t="shared" si="2"/>
        <v>0</v>
      </c>
      <c r="L19" s="190">
        <v>0</v>
      </c>
      <c r="M19" s="190">
        <v>0</v>
      </c>
      <c r="N19" s="190">
        <v>0</v>
      </c>
      <c r="O19" s="190">
        <v>0</v>
      </c>
      <c r="P19" s="193">
        <v>0</v>
      </c>
      <c r="Q19" s="290">
        <f t="shared" si="3"/>
        <v>52273</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21690</v>
      </c>
      <c r="D20" s="190">
        <f>ROUND(C20*131%,0)</f>
        <v>28414</v>
      </c>
      <c r="E20" s="191">
        <f t="shared" si="0"/>
        <v>5010</v>
      </c>
      <c r="F20" s="190">
        <f t="shared" si="1"/>
        <v>2169</v>
      </c>
      <c r="G20" s="192">
        <f t="shared" si="5"/>
        <v>0</v>
      </c>
      <c r="H20" s="192">
        <f t="shared" si="5"/>
        <v>0</v>
      </c>
      <c r="I20" s="192">
        <v>0</v>
      </c>
      <c r="J20" s="192">
        <v>0</v>
      </c>
      <c r="K20" s="190">
        <f t="shared" si="2"/>
        <v>0</v>
      </c>
      <c r="L20" s="190">
        <v>0</v>
      </c>
      <c r="M20" s="190">
        <v>0</v>
      </c>
      <c r="N20" s="190">
        <v>0</v>
      </c>
      <c r="O20" s="190">
        <v>0</v>
      </c>
      <c r="P20" s="193">
        <v>0</v>
      </c>
      <c r="Q20" s="290">
        <f t="shared" si="3"/>
        <v>52273</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257720</v>
      </c>
      <c r="D21" s="287">
        <f>SUM(D9:D20)</f>
        <v>327398</v>
      </c>
      <c r="E21" s="288">
        <f>SUM(E9:E20)</f>
        <v>58508</v>
      </c>
      <c r="F21" s="287">
        <f>SUM(F9:F20)</f>
        <v>25772</v>
      </c>
      <c r="G21" s="287">
        <f t="shared" si="7"/>
        <v>0</v>
      </c>
      <c r="H21" s="287">
        <f>SUM(H9:H20)</f>
        <v>0</v>
      </c>
      <c r="I21" s="287">
        <f t="shared" si="7"/>
        <v>3789</v>
      </c>
      <c r="J21" s="287">
        <f t="shared" si="7"/>
        <v>3903</v>
      </c>
      <c r="K21" s="287">
        <f>SUM(K9:K20)</f>
        <v>769</v>
      </c>
      <c r="L21" s="287">
        <f t="shared" si="7"/>
        <v>0</v>
      </c>
      <c r="M21" s="287">
        <f t="shared" si="7"/>
        <v>0</v>
      </c>
      <c r="N21" s="287">
        <f t="shared" si="7"/>
        <v>0</v>
      </c>
      <c r="O21" s="287">
        <f>SUM(O9:O20)</f>
        <v>0</v>
      </c>
      <c r="P21" s="289">
        <f>SUM(P9:P20)</f>
        <v>0</v>
      </c>
      <c r="Q21" s="84">
        <f>SUM(Q9:Q20)</f>
        <v>618582</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IF('Emp.-Detail'!F15="yes",E9)+IF('Emp.-Detail'!F15="NO",0)</f>
        <v>0</v>
      </c>
      <c r="D25" s="192">
        <f>IF('Emp.-Detail'!F15="YES",K9)+IF('Emp.-Detail'!F15="NO",I9,0)</f>
        <v>3789</v>
      </c>
      <c r="E25" s="195"/>
      <c r="F25" s="287">
        <f>SUM(C25:D25)</f>
        <v>3789</v>
      </c>
      <c r="G25" s="192">
        <v>0</v>
      </c>
      <c r="H25" s="194">
        <v>0</v>
      </c>
      <c r="I25" s="192">
        <v>3000</v>
      </c>
      <c r="J25" s="195">
        <v>0</v>
      </c>
      <c r="K25" s="195"/>
      <c r="L25" s="195">
        <v>0</v>
      </c>
      <c r="M25" s="196">
        <v>595</v>
      </c>
      <c r="N25" s="196">
        <v>0</v>
      </c>
      <c r="O25" s="196">
        <v>2000</v>
      </c>
      <c r="P25" s="192">
        <v>0</v>
      </c>
      <c r="Q25" s="297">
        <f>SUM(F25:P25)</f>
        <v>9384</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IF('Emp.-Detail'!F15="yes",E10)+IF('Emp.-Detail'!F15="NO",0)</f>
        <v>0</v>
      </c>
      <c r="D26" s="192">
        <f>IF('Emp.-Detail'!F15="YES",K10)+IF('Emp.-Detail'!F15="NO",I10,0)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2000</v>
      </c>
      <c r="P26" s="194">
        <f>'Emp.-Detail'!AB9+'Emp.-Detail'!AB9*14.5%</f>
        <v>251.9</v>
      </c>
      <c r="Q26" s="297">
        <f t="shared" ref="Q26:Q36" si="11">SUM(F26:P26)</f>
        <v>5846.9</v>
      </c>
      <c r="R26" s="50"/>
      <c r="S26" s="1089" t="s">
        <v>279</v>
      </c>
      <c r="T26" s="1090"/>
      <c r="U26" s="1090"/>
      <c r="V26" s="1090"/>
      <c r="W26" s="1090"/>
      <c r="X26" s="1090"/>
      <c r="Y26" s="1090"/>
      <c r="Z26" s="1090"/>
      <c r="AA26" s="1091"/>
      <c r="AB26" s="942">
        <f>SUM(V17:V25)+SUM(AD17:AD25)</f>
        <v>43912</v>
      </c>
      <c r="AC26" s="957"/>
      <c r="AD26" s="1135">
        <f>IF(AB26&lt;=150000,AB26,150000)+AD25</f>
        <v>43912</v>
      </c>
      <c r="AE26" s="1136"/>
      <c r="AF26" s="1137"/>
      <c r="AG26" s="17"/>
    </row>
    <row r="27" spans="1:34" ht="19.5" customHeight="1">
      <c r="A27" s="187">
        <v>3</v>
      </c>
      <c r="B27" s="296">
        <f t="shared" si="8"/>
        <v>42491</v>
      </c>
      <c r="C27" s="192">
        <f>IF('Emp.-Detail'!F15="yes",E11)+IF('Emp.-Detail'!F15="NO",0)</f>
        <v>0</v>
      </c>
      <c r="D27" s="192">
        <f>IF('Emp.-Detail'!F15="YES",K11)+IF('Emp.-Detail'!F15="NO",I11,0)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2000</v>
      </c>
      <c r="P27" s="192">
        <v>0</v>
      </c>
      <c r="Q27" s="297">
        <f t="shared" si="11"/>
        <v>5595</v>
      </c>
      <c r="R27" s="50"/>
      <c r="S27" s="1085" t="s">
        <v>592</v>
      </c>
      <c r="T27" s="1086"/>
      <c r="U27" s="1086"/>
      <c r="V27" s="1086"/>
      <c r="W27" s="1086"/>
      <c r="X27" s="1086"/>
      <c r="Y27" s="1086"/>
      <c r="Z27" s="1086"/>
      <c r="AA27" s="1086"/>
      <c r="AB27" s="1087">
        <f>AB5</f>
        <v>0</v>
      </c>
      <c r="AC27" s="1088"/>
      <c r="AD27" s="831">
        <f>AD15-(AD26+AB5)</f>
        <v>574670</v>
      </c>
      <c r="AE27" s="831"/>
      <c r="AF27" s="955"/>
      <c r="AG27" s="17"/>
    </row>
    <row r="28" spans="1:34" ht="19.5" customHeight="1">
      <c r="A28" s="187">
        <v>4</v>
      </c>
      <c r="B28" s="296">
        <f t="shared" si="8"/>
        <v>42522</v>
      </c>
      <c r="C28" s="192">
        <f>IF('Emp.-Detail'!F15="yes",E12)+IF('Emp.-Detail'!F15="NO",0)</f>
        <v>0</v>
      </c>
      <c r="D28" s="192">
        <f>IF('Emp.-Detail'!F15="YES",K12)+IF('Emp.-Detail'!F15="NO",I12,0)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2000</v>
      </c>
      <c r="P28" s="192">
        <v>0</v>
      </c>
      <c r="Q28" s="297">
        <f t="shared" si="11"/>
        <v>5595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IF('Emp.-Detail'!F15="yes",E13)+IF('Emp.-Detail'!F15="NO",0)</f>
        <v>0</v>
      </c>
      <c r="D29" s="192">
        <f>IF('Emp.-Detail'!F15="YES",K13)+IF('Emp.-Detail'!F15="NO",I13,0)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2000</v>
      </c>
      <c r="P29" s="192">
        <v>0</v>
      </c>
      <c r="Q29" s="297">
        <f t="shared" si="11"/>
        <v>5595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IF('Emp.-Detail'!F15="yes",E14)+IF('Emp.-Detail'!F15="NO",0)</f>
        <v>0</v>
      </c>
      <c r="D30" s="192">
        <f>IF('Emp.-Detail'!F15="YES",K14)+IF('Emp.-Detail'!F15="NO",J14,0)</f>
        <v>3903</v>
      </c>
      <c r="E30" s="195"/>
      <c r="F30" s="287">
        <f t="shared" si="9"/>
        <v>3903</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2000</v>
      </c>
      <c r="P30" s="192">
        <v>0</v>
      </c>
      <c r="Q30" s="297">
        <f t="shared" si="11"/>
        <v>9498</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IF('Emp.-Detail'!F15="yes",E15)+IF('Emp.-Detail'!F15="NO",0)</f>
        <v>0</v>
      </c>
      <c r="D31" s="192">
        <f>IF('Emp.-Detail'!F15="YES",K15)+IF('Emp.-Detail'!F15="NO",J15,0)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2000</v>
      </c>
      <c r="P31" s="192">
        <v>0</v>
      </c>
      <c r="Q31" s="297">
        <f t="shared" si="11"/>
        <v>5595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IF('Emp.-Detail'!F15="yes",E16)+IF('Emp.-Detail'!F15="NO",0)</f>
        <v>0</v>
      </c>
      <c r="D32" s="192">
        <f>IF('Emp.-Detail'!F15="YES",K16)+IF('Emp.-Detail'!F15="NO",J16,0)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2000</v>
      </c>
      <c r="P32" s="192">
        <v>0</v>
      </c>
      <c r="Q32" s="297">
        <f t="shared" si="11"/>
        <v>5595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IF('Emp.-Detail'!F15="yes",E17)+IF('Emp.-Detail'!F15="NO",0)</f>
        <v>0</v>
      </c>
      <c r="D33" s="192">
        <f>IF('Emp.-Detail'!F15="YES",K17)+IF('Emp.-Detail'!F15="NO",J17,0)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2000</v>
      </c>
      <c r="P33" s="192">
        <v>0</v>
      </c>
      <c r="Q33" s="297">
        <f t="shared" si="11"/>
        <v>5595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IF('Emp.-Detail'!F15="yes",E18)+IF('Emp.-Detail'!F15="NO",0)</f>
        <v>0</v>
      </c>
      <c r="D34" s="192">
        <f>IF('Emp.-Detail'!F15="YES",K18)+IF('Emp.-Detail'!F15="NO",J18,0)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2000</v>
      </c>
      <c r="P34" s="192">
        <v>0</v>
      </c>
      <c r="Q34" s="297">
        <f t="shared" si="11"/>
        <v>5595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IF('Emp.-Detail'!F15="yes",E19)+IF('Emp.-Detail'!F15="NO",0)</f>
        <v>0</v>
      </c>
      <c r="D35" s="192">
        <f>IF('Emp.-Detail'!F15="YES",K19)+IF('Emp.-Detail'!F15="NO",J19,0)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2000</v>
      </c>
      <c r="P35" s="192">
        <v>0</v>
      </c>
      <c r="Q35" s="297">
        <f t="shared" si="11"/>
        <v>5595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IF('Emp.-Detail'!F15="yes",E20)+IF('Emp.-Detail'!F15="NO",0)</f>
        <v>0</v>
      </c>
      <c r="D36" s="192">
        <f>IF('Emp.-Detail'!F15="YES",K20)+IF('Emp.-Detail'!F15="NO",J20,0)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2000</v>
      </c>
      <c r="P36" s="192">
        <v>0</v>
      </c>
      <c r="Q36" s="297">
        <f t="shared" si="11"/>
        <v>5595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7692</v>
      </c>
      <c r="E37" s="306"/>
      <c r="F37" s="307">
        <f t="shared" si="9"/>
        <v>7692</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24000</v>
      </c>
      <c r="P37" s="288">
        <f t="shared" si="12"/>
        <v>251.9</v>
      </c>
      <c r="Q37" s="305">
        <f t="shared" si="12"/>
        <v>75083.899999999994</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618582</v>
      </c>
      <c r="D38" s="860"/>
      <c r="E38" s="309"/>
      <c r="F38" s="310"/>
      <c r="G38" s="1001" t="s">
        <v>13</v>
      </c>
      <c r="H38" s="1001"/>
      <c r="I38" s="1001"/>
      <c r="J38" s="860">
        <f>Q37</f>
        <v>75083.899999999994</v>
      </c>
      <c r="K38" s="860"/>
      <c r="L38" s="860"/>
      <c r="M38" s="310"/>
      <c r="N38" s="998" t="s">
        <v>15</v>
      </c>
      <c r="O38" s="998"/>
      <c r="P38" s="860">
        <f>Q21-Q37</f>
        <v>543498.1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574670</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574670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39934</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39934</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799</v>
      </c>
      <c r="V43" s="949"/>
      <c r="W43" s="949"/>
      <c r="X43" s="1067" t="s">
        <v>84</v>
      </c>
      <c r="Y43" s="1067"/>
      <c r="Z43" s="1067"/>
      <c r="AA43" s="953">
        <f>ROUND((AD42*1%),0)</f>
        <v>399</v>
      </c>
      <c r="AB43" s="953"/>
      <c r="AC43" s="953"/>
      <c r="AD43" s="951">
        <f>U43+AA43</f>
        <v>1198</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41132</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IF('Emp.-Detail'!F15="NO",0,ROUND(E21+K21,0))</f>
        <v>0</v>
      </c>
      <c r="Q46" s="943"/>
      <c r="R46" s="22"/>
      <c r="S46" s="1071" t="s">
        <v>87</v>
      </c>
      <c r="T46" s="1072"/>
      <c r="U46" s="1072"/>
      <c r="V46" s="1072"/>
      <c r="W46" s="1072"/>
      <c r="X46" s="1072"/>
      <c r="Y46" s="1072"/>
      <c r="Z46" s="1072"/>
      <c r="AA46" s="1072"/>
      <c r="AB46" s="1072"/>
      <c r="AC46" s="1072"/>
      <c r="AD46" s="796">
        <f>AD44-AD45</f>
        <v>41132</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17132</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BHOMA RAM MEENA</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618582</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618582</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618582</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BHOMA RAM MEENA</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ACLPM3827E</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9828052270</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618582</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'Emp.-Detail'!O15</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7692</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150930</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155315</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155518</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156819</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618582</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43912</v>
      </c>
      <c r="AC81" s="1113"/>
      <c r="AD81" s="773">
        <f>AD26</f>
        <v>43912</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'Emp.-Detail'!N15</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'Emp.-Detail'!N15</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'Emp.-Detail'!N15</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'Emp.-Detail'!J15</f>
        <v>0</v>
      </c>
      <c r="C87" s="788"/>
      <c r="D87" s="776"/>
      <c r="E87" s="257"/>
      <c r="F87" s="1233" t="str">
        <f>'Emp.-Detail'!K15</f>
        <v>0</v>
      </c>
      <c r="G87" s="791"/>
      <c r="H87" s="791"/>
      <c r="I87" s="792"/>
      <c r="J87" s="810" t="str">
        <f>'Emp.-Detail'!L15</f>
        <v>00/00/0000</v>
      </c>
      <c r="K87" s="811"/>
      <c r="L87" s="811"/>
      <c r="M87" s="812"/>
      <c r="N87" s="1233" t="str">
        <f>'Emp.-Detail'!M15</f>
        <v>00</v>
      </c>
      <c r="O87" s="792"/>
      <c r="P87" s="793" t="str">
        <f>'Emp.-Detail'!N15</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43912</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574670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39934</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1198</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41132</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41132</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618582</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618582</v>
      </c>
      <c r="P104" s="776"/>
      <c r="Q104" s="258">
        <f>O104</f>
        <v>618582</v>
      </c>
      <c r="R104" s="235"/>
      <c r="S104" s="254"/>
      <c r="T104" s="229" t="str">
        <f>'DDO '!L10</f>
        <v>PRINCIPAL</v>
      </c>
      <c r="U104" s="229"/>
      <c r="V104" s="780" t="s">
        <v>51</v>
      </c>
      <c r="W104" s="780"/>
      <c r="X104" s="780"/>
      <c r="Y104" s="780"/>
      <c r="Z104" s="770">
        <f>AD100</f>
        <v>41132</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FOURTY  ONE  Thousand  ONE  Hundred  THIRTY  TWO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618582</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618582</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618582</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2"/>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O52:P52"/>
    <mergeCell ref="S52:AC52"/>
    <mergeCell ref="AD52:AF52"/>
    <mergeCell ref="O50:P50"/>
    <mergeCell ref="Q50:Q55"/>
    <mergeCell ref="S50:AC50"/>
    <mergeCell ref="AD50:AF50"/>
    <mergeCell ref="A51:B51"/>
    <mergeCell ref="C51:D51"/>
    <mergeCell ref="I51:J51"/>
    <mergeCell ref="L51:N51"/>
    <mergeCell ref="O51:P51"/>
    <mergeCell ref="F50:H50"/>
    <mergeCell ref="F51:H51"/>
    <mergeCell ref="F52:J52"/>
    <mergeCell ref="A53:H53"/>
    <mergeCell ref="A54:H54"/>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A50:B50"/>
    <mergeCell ref="C50:D50"/>
    <mergeCell ref="I50:J50"/>
    <mergeCell ref="L50:N50"/>
    <mergeCell ref="S51:AC51"/>
    <mergeCell ref="AD51:AF51"/>
    <mergeCell ref="A52:B52"/>
    <mergeCell ref="C52:D52"/>
    <mergeCell ref="L52:N52"/>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98:Q98"/>
    <mergeCell ref="S98:AC98"/>
    <mergeCell ref="AD98:AE98"/>
    <mergeCell ref="A99:Q99"/>
    <mergeCell ref="S99:AC99"/>
    <mergeCell ref="AD99:AE99"/>
    <mergeCell ref="AD96:AE96"/>
    <mergeCell ref="A97:J97"/>
    <mergeCell ref="L97:M97"/>
    <mergeCell ref="N97:Q97"/>
    <mergeCell ref="S97:AC97"/>
    <mergeCell ref="AD97:AE97"/>
    <mergeCell ref="A100:L100"/>
    <mergeCell ref="M100:N100"/>
    <mergeCell ref="O100:P103"/>
    <mergeCell ref="Q100:Q103"/>
    <mergeCell ref="S100:AC100"/>
    <mergeCell ref="AD100:AE100"/>
    <mergeCell ref="A101:L101"/>
    <mergeCell ref="M101:N101"/>
    <mergeCell ref="S101:AE101"/>
    <mergeCell ref="A102:L102"/>
    <mergeCell ref="M110:P110"/>
    <mergeCell ref="S110:T110"/>
    <mergeCell ref="U110:W110"/>
    <mergeCell ref="D111:I111"/>
    <mergeCell ref="M102:N102"/>
    <mergeCell ref="S102:AE102"/>
    <mergeCell ref="A103:L103"/>
    <mergeCell ref="M103:N103"/>
    <mergeCell ref="T103:V103"/>
    <mergeCell ref="W103:Y103"/>
    <mergeCell ref="Z103:AB103"/>
    <mergeCell ref="AC103:AE103"/>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A1:D1"/>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J111:L111"/>
    <mergeCell ref="M111:N111"/>
    <mergeCell ref="A104:L104"/>
    <mergeCell ref="M104:N107"/>
    <mergeCell ref="O104:P10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2.xml><?xml version="1.0" encoding="utf-8"?>
<worksheet xmlns="http://schemas.openxmlformats.org/spreadsheetml/2006/main" xmlns:r="http://schemas.openxmlformats.org/officeDocument/2006/relationships">
  <dimension ref="A1:AJ150"/>
  <sheetViews>
    <sheetView view="pageBreakPreview" topLeftCell="A13" zoomScaleSheetLayoutView="100" workbookViewId="0">
      <selection activeCell="L25" sqref="L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VIJAY CHOUDHARY</v>
      </c>
      <c r="T3" s="538"/>
      <c r="U3" s="538"/>
      <c r="V3" s="538"/>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'Emp.-Detail'!B16</f>
        <v>VIJAY CHOUDHARY</v>
      </c>
      <c r="E4" s="949"/>
      <c r="F4" s="949"/>
      <c r="G4" s="949"/>
      <c r="H4" s="949"/>
      <c r="I4" s="854"/>
      <c r="J4" s="1185">
        <f>'Emp.-Detail'!A16</f>
        <v>8</v>
      </c>
      <c r="K4" s="1186"/>
      <c r="L4" s="1187"/>
      <c r="M4" s="982" t="s">
        <v>8</v>
      </c>
      <c r="N4" s="833"/>
      <c r="O4" s="833"/>
      <c r="P4" s="949" t="str">
        <f>'Emp.-Detail'!C16</f>
        <v>Lecturer</v>
      </c>
      <c r="Q4" s="950"/>
      <c r="R4" s="50"/>
      <c r="S4" s="1250" t="str">
        <f>D5</f>
        <v>AHMPC9320N</v>
      </c>
      <c r="T4" s="538"/>
      <c r="U4" s="538"/>
      <c r="V4" s="538"/>
      <c r="W4" s="959" t="str">
        <f>'Emp.-Detail'!H16</f>
        <v>61018845504</v>
      </c>
      <c r="X4" s="949"/>
      <c r="Y4" s="949"/>
      <c r="Z4" s="949"/>
      <c r="AA4" s="949" t="str">
        <f>'Emp.-Detail'!I16</f>
        <v>SBBJ, Sujangarh</v>
      </c>
      <c r="AB4" s="949"/>
      <c r="AC4" s="949"/>
      <c r="AD4" s="949"/>
      <c r="AE4" s="949"/>
      <c r="AF4" s="950"/>
      <c r="AG4" s="17"/>
    </row>
    <row r="5" spans="1:33" ht="19.5" customHeight="1" thickBot="1">
      <c r="A5" s="954" t="s">
        <v>135</v>
      </c>
      <c r="B5" s="833"/>
      <c r="C5" s="833"/>
      <c r="D5" s="949" t="str">
        <f>'Emp.-Detail'!D16</f>
        <v>AHMPC9320N</v>
      </c>
      <c r="E5" s="949"/>
      <c r="F5" s="949"/>
      <c r="G5" s="949"/>
      <c r="H5" s="949"/>
      <c r="I5" s="854"/>
      <c r="J5" s="1188"/>
      <c r="K5" s="1189"/>
      <c r="L5" s="1190"/>
      <c r="M5" s="982" t="s">
        <v>137</v>
      </c>
      <c r="N5" s="833"/>
      <c r="O5" s="833"/>
      <c r="P5" s="959">
        <f>'Emp.-Detail'!G16</f>
        <v>9461249175</v>
      </c>
      <c r="Q5" s="950"/>
      <c r="R5" s="50"/>
      <c r="S5" s="974" t="s">
        <v>203</v>
      </c>
      <c r="T5" s="975"/>
      <c r="U5" s="975"/>
      <c r="V5" s="975"/>
      <c r="W5" s="951">
        <f>SUM(Q9:Q20)</f>
        <v>631595</v>
      </c>
      <c r="X5" s="951"/>
      <c r="Y5" s="1248" t="s">
        <v>202</v>
      </c>
      <c r="Z5" s="1249"/>
      <c r="AA5" s="1088"/>
      <c r="AB5" s="951">
        <f>P46</f>
        <v>58296</v>
      </c>
      <c r="AC5" s="949"/>
      <c r="AD5" s="941">
        <f>W5+AB5</f>
        <v>689891</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689891</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689891</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689891</v>
      </c>
      <c r="AE8" s="942"/>
      <c r="AF8" s="943"/>
      <c r="AG8" s="17"/>
    </row>
    <row r="9" spans="1:33" ht="19.5" customHeight="1">
      <c r="A9" s="285">
        <v>1</v>
      </c>
      <c r="B9" s="286">
        <v>42430</v>
      </c>
      <c r="C9" s="190">
        <f>'Emp.-Detail'!E16</f>
        <v>20700</v>
      </c>
      <c r="D9" s="190">
        <f>ROUND(C9*119%,0)</f>
        <v>24633</v>
      </c>
      <c r="E9" s="191">
        <f>ROUND((C9+D9)*10%,0)</f>
        <v>4533</v>
      </c>
      <c r="F9" s="190">
        <f>ROUND(C9*10%,0)</f>
        <v>2070</v>
      </c>
      <c r="G9" s="190">
        <v>0</v>
      </c>
      <c r="H9" s="190">
        <v>0</v>
      </c>
      <c r="I9" s="192">
        <f>ROUND(C9*6%,0)*3</f>
        <v>3726</v>
      </c>
      <c r="J9" s="190">
        <v>0</v>
      </c>
      <c r="K9" s="190">
        <f>ROUND((I9+J9)*10%,0)</f>
        <v>373</v>
      </c>
      <c r="L9" s="190">
        <v>23288</v>
      </c>
      <c r="M9" s="190">
        <v>0</v>
      </c>
      <c r="N9" s="190">
        <v>0</v>
      </c>
      <c r="O9" s="190">
        <v>0</v>
      </c>
      <c r="P9" s="193">
        <v>0</v>
      </c>
      <c r="Q9" s="290">
        <f>C9+D9+F9+G9+H9+I9+J9+L9+M9+N9+O9</f>
        <v>74417</v>
      </c>
      <c r="R9" s="282"/>
      <c r="S9" s="984" t="s">
        <v>144</v>
      </c>
      <c r="T9" s="985"/>
      <c r="U9" s="985"/>
      <c r="V9" s="985"/>
      <c r="W9" s="985"/>
      <c r="X9" s="985"/>
      <c r="Y9" s="985"/>
      <c r="Z9" s="971" t="s">
        <v>18</v>
      </c>
      <c r="AA9" s="971"/>
      <c r="AB9" s="967">
        <f>O49</f>
        <v>0</v>
      </c>
      <c r="AC9" s="968"/>
      <c r="AD9" s="977">
        <f>AD8+AB9</f>
        <v>689891</v>
      </c>
      <c r="AE9" s="978"/>
      <c r="AF9" s="979"/>
      <c r="AG9" s="17"/>
    </row>
    <row r="10" spans="1:33" ht="19.5" customHeight="1">
      <c r="A10" s="187">
        <v>2</v>
      </c>
      <c r="B10" s="286">
        <v>42461</v>
      </c>
      <c r="C10" s="192">
        <f>C9</f>
        <v>20700</v>
      </c>
      <c r="D10" s="190">
        <f>ROUND(C10*125%,0)</f>
        <v>25875</v>
      </c>
      <c r="E10" s="191">
        <f t="shared" ref="E10:E20" si="0">ROUND((C10+D10)*10%,0)</f>
        <v>4658</v>
      </c>
      <c r="F10" s="190">
        <f t="shared" ref="F10:F20" si="1">ROUND(C10*10%,0)</f>
        <v>2070</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48645</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20700</v>
      </c>
      <c r="D11" s="190">
        <f t="shared" ref="D11:D15" si="4">ROUND(C11*125%,0)</f>
        <v>25875</v>
      </c>
      <c r="E11" s="191">
        <f t="shared" si="0"/>
        <v>4658</v>
      </c>
      <c r="F11" s="190">
        <f t="shared" si="1"/>
        <v>2070</v>
      </c>
      <c r="G11" s="192">
        <f t="shared" ref="G11:H20" si="5">G10</f>
        <v>0</v>
      </c>
      <c r="H11" s="192">
        <f t="shared" si="5"/>
        <v>0</v>
      </c>
      <c r="I11" s="192">
        <v>0</v>
      </c>
      <c r="J11" s="190">
        <v>0</v>
      </c>
      <c r="K11" s="190">
        <f t="shared" si="2"/>
        <v>0</v>
      </c>
      <c r="L11" s="190">
        <v>0</v>
      </c>
      <c r="M11" s="190">
        <v>0</v>
      </c>
      <c r="N11" s="190">
        <v>0</v>
      </c>
      <c r="O11" s="190">
        <v>0</v>
      </c>
      <c r="P11" s="193">
        <v>0</v>
      </c>
      <c r="Q11" s="290">
        <f t="shared" si="3"/>
        <v>48645</v>
      </c>
      <c r="R11" s="50"/>
      <c r="S11" s="292" t="s">
        <v>146</v>
      </c>
      <c r="T11" s="958">
        <f>O50</f>
        <v>0</v>
      </c>
      <c r="U11" s="948"/>
      <c r="V11" s="980">
        <f>O51</f>
        <v>0</v>
      </c>
      <c r="W11" s="958"/>
      <c r="X11" s="948"/>
      <c r="Y11" s="980">
        <f>Q49</f>
        <v>0</v>
      </c>
      <c r="Z11" s="958"/>
      <c r="AA11" s="948"/>
      <c r="AB11" s="980">
        <f>T11+V11+Y11</f>
        <v>0</v>
      </c>
      <c r="AC11" s="948"/>
      <c r="AD11" s="941">
        <f>AD9-AB11</f>
        <v>689891</v>
      </c>
      <c r="AE11" s="942"/>
      <c r="AF11" s="943"/>
      <c r="AG11" s="17"/>
    </row>
    <row r="12" spans="1:33" ht="19.5" customHeight="1">
      <c r="A12" s="187">
        <v>4</v>
      </c>
      <c r="B12" s="286">
        <v>42522</v>
      </c>
      <c r="C12" s="192">
        <f>C11</f>
        <v>20700</v>
      </c>
      <c r="D12" s="190">
        <f t="shared" si="4"/>
        <v>25875</v>
      </c>
      <c r="E12" s="191">
        <f t="shared" si="0"/>
        <v>4658</v>
      </c>
      <c r="F12" s="190">
        <f t="shared" si="1"/>
        <v>2070</v>
      </c>
      <c r="G12" s="192">
        <f t="shared" si="5"/>
        <v>0</v>
      </c>
      <c r="H12" s="192">
        <f t="shared" si="5"/>
        <v>0</v>
      </c>
      <c r="I12" s="192">
        <v>0</v>
      </c>
      <c r="J12" s="190">
        <v>0</v>
      </c>
      <c r="K12" s="190">
        <f t="shared" si="2"/>
        <v>0</v>
      </c>
      <c r="L12" s="190">
        <v>0</v>
      </c>
      <c r="M12" s="190">
        <v>0</v>
      </c>
      <c r="N12" s="190">
        <v>0</v>
      </c>
      <c r="O12" s="190">
        <v>0</v>
      </c>
      <c r="P12" s="193">
        <v>0</v>
      </c>
      <c r="Q12" s="290">
        <f t="shared" si="3"/>
        <v>48645</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21330</v>
      </c>
      <c r="D13" s="190">
        <f t="shared" si="4"/>
        <v>26663</v>
      </c>
      <c r="E13" s="191">
        <f t="shared" si="0"/>
        <v>4799</v>
      </c>
      <c r="F13" s="190">
        <f t="shared" si="1"/>
        <v>2133</v>
      </c>
      <c r="G13" s="192">
        <f t="shared" si="5"/>
        <v>0</v>
      </c>
      <c r="H13" s="192">
        <f t="shared" si="5"/>
        <v>0</v>
      </c>
      <c r="I13" s="192">
        <v>0</v>
      </c>
      <c r="J13" s="190">
        <v>0</v>
      </c>
      <c r="K13" s="190">
        <f t="shared" si="2"/>
        <v>0</v>
      </c>
      <c r="L13" s="190">
        <v>0</v>
      </c>
      <c r="M13" s="190">
        <v>0</v>
      </c>
      <c r="N13" s="190">
        <v>0</v>
      </c>
      <c r="O13" s="190">
        <v>0</v>
      </c>
      <c r="P13" s="193">
        <v>0</v>
      </c>
      <c r="Q13" s="290">
        <f t="shared" si="3"/>
        <v>50126</v>
      </c>
      <c r="R13" s="70"/>
      <c r="S13" s="991">
        <f>O52</f>
        <v>0</v>
      </c>
      <c r="T13" s="948"/>
      <c r="U13" s="980">
        <f>O53</f>
        <v>0</v>
      </c>
      <c r="V13" s="948"/>
      <c r="W13" s="980">
        <f>O54</f>
        <v>0</v>
      </c>
      <c r="X13" s="948"/>
      <c r="Y13" s="980">
        <f>O55</f>
        <v>0</v>
      </c>
      <c r="Z13" s="958"/>
      <c r="AA13" s="958"/>
      <c r="AB13" s="951">
        <f>SUM(S13:AA13)</f>
        <v>0</v>
      </c>
      <c r="AC13" s="951"/>
      <c r="AD13" s="941">
        <f>AD11+AB13</f>
        <v>689891</v>
      </c>
      <c r="AE13" s="965"/>
      <c r="AF13" s="966"/>
      <c r="AG13" s="17"/>
    </row>
    <row r="14" spans="1:33" ht="19.5" customHeight="1">
      <c r="A14" s="187">
        <v>6</v>
      </c>
      <c r="B14" s="286">
        <v>42583</v>
      </c>
      <c r="C14" s="192">
        <f t="shared" ref="C14:C20" si="6">C13</f>
        <v>21330</v>
      </c>
      <c r="D14" s="190">
        <f>ROUND(C14*125%,0)</f>
        <v>26663</v>
      </c>
      <c r="E14" s="191">
        <f t="shared" si="0"/>
        <v>4799</v>
      </c>
      <c r="F14" s="190">
        <f t="shared" si="1"/>
        <v>2133</v>
      </c>
      <c r="G14" s="192">
        <f t="shared" si="5"/>
        <v>0</v>
      </c>
      <c r="H14" s="192">
        <f t="shared" si="5"/>
        <v>0</v>
      </c>
      <c r="I14" s="192">
        <v>0</v>
      </c>
      <c r="J14" s="192">
        <f>ROUND(C13*6%,0)*3</f>
        <v>3840</v>
      </c>
      <c r="K14" s="190">
        <f t="shared" si="2"/>
        <v>384</v>
      </c>
      <c r="L14" s="190">
        <v>0</v>
      </c>
      <c r="M14" s="190">
        <v>0</v>
      </c>
      <c r="N14" s="190">
        <v>0</v>
      </c>
      <c r="O14" s="190">
        <v>0</v>
      </c>
      <c r="P14" s="193">
        <v>0</v>
      </c>
      <c r="Q14" s="290">
        <f t="shared" si="3"/>
        <v>53966</v>
      </c>
      <c r="R14" s="50"/>
      <c r="S14" s="954" t="s">
        <v>19</v>
      </c>
      <c r="T14" s="833"/>
      <c r="U14" s="833"/>
      <c r="V14" s="833"/>
      <c r="W14" s="833"/>
      <c r="X14" s="833"/>
      <c r="Y14" s="833"/>
      <c r="Z14" s="833"/>
      <c r="AA14" s="951">
        <f>I55</f>
        <v>0</v>
      </c>
      <c r="AB14" s="951"/>
      <c r="AC14" s="951"/>
      <c r="AD14" s="941">
        <f>AD13+AA14</f>
        <v>689891</v>
      </c>
      <c r="AE14" s="942"/>
      <c r="AF14" s="943"/>
      <c r="AG14" s="17"/>
    </row>
    <row r="15" spans="1:33" ht="19.5" customHeight="1">
      <c r="A15" s="187">
        <v>7</v>
      </c>
      <c r="B15" s="286">
        <v>42614</v>
      </c>
      <c r="C15" s="192">
        <f t="shared" si="6"/>
        <v>21330</v>
      </c>
      <c r="D15" s="190">
        <f t="shared" si="4"/>
        <v>26663</v>
      </c>
      <c r="E15" s="191">
        <f t="shared" si="0"/>
        <v>4799</v>
      </c>
      <c r="F15" s="190">
        <f t="shared" si="1"/>
        <v>2133</v>
      </c>
      <c r="G15" s="192">
        <f t="shared" si="5"/>
        <v>0</v>
      </c>
      <c r="H15" s="192">
        <f t="shared" si="5"/>
        <v>0</v>
      </c>
      <c r="I15" s="192">
        <v>0</v>
      </c>
      <c r="J15" s="192">
        <v>0</v>
      </c>
      <c r="K15" s="190">
        <f t="shared" si="2"/>
        <v>0</v>
      </c>
      <c r="L15" s="190">
        <v>0</v>
      </c>
      <c r="M15" s="190">
        <v>0</v>
      </c>
      <c r="N15" s="190">
        <v>0</v>
      </c>
      <c r="O15" s="190">
        <v>0</v>
      </c>
      <c r="P15" s="193">
        <v>0</v>
      </c>
      <c r="Q15" s="290">
        <f t="shared" si="3"/>
        <v>50126</v>
      </c>
      <c r="R15" s="50"/>
      <c r="S15" s="992" t="s">
        <v>20</v>
      </c>
      <c r="T15" s="993"/>
      <c r="U15" s="993"/>
      <c r="V15" s="993"/>
      <c r="W15" s="993"/>
      <c r="X15" s="993"/>
      <c r="Y15" s="993"/>
      <c r="Z15" s="993"/>
      <c r="AA15" s="993"/>
      <c r="AB15" s="993"/>
      <c r="AC15" s="993"/>
      <c r="AD15" s="941">
        <f>AD14</f>
        <v>689891</v>
      </c>
      <c r="AE15" s="942"/>
      <c r="AF15" s="943"/>
      <c r="AG15" s="17"/>
    </row>
    <row r="16" spans="1:33" ht="19.5" customHeight="1">
      <c r="A16" s="187">
        <v>8</v>
      </c>
      <c r="B16" s="286">
        <v>42644</v>
      </c>
      <c r="C16" s="192">
        <f t="shared" si="6"/>
        <v>21330</v>
      </c>
      <c r="D16" s="190">
        <f>ROUND(C16*131%,0)</f>
        <v>27942</v>
      </c>
      <c r="E16" s="191">
        <f t="shared" si="0"/>
        <v>4927</v>
      </c>
      <c r="F16" s="190">
        <f t="shared" si="1"/>
        <v>2133</v>
      </c>
      <c r="G16" s="192">
        <f t="shared" si="5"/>
        <v>0</v>
      </c>
      <c r="H16" s="192">
        <f t="shared" si="5"/>
        <v>0</v>
      </c>
      <c r="I16" s="192">
        <v>0</v>
      </c>
      <c r="J16" s="192">
        <v>0</v>
      </c>
      <c r="K16" s="190">
        <f t="shared" si="2"/>
        <v>0</v>
      </c>
      <c r="L16" s="190">
        <v>0</v>
      </c>
      <c r="M16" s="190">
        <v>0</v>
      </c>
      <c r="N16" s="190">
        <v>0</v>
      </c>
      <c r="O16" s="190">
        <v>0</v>
      </c>
      <c r="P16" s="193">
        <v>0</v>
      </c>
      <c r="Q16" s="290">
        <f t="shared" si="3"/>
        <v>51405</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21330</v>
      </c>
      <c r="D17" s="190">
        <f>ROUND(C17*131%,0)</f>
        <v>27942</v>
      </c>
      <c r="E17" s="191">
        <f t="shared" si="0"/>
        <v>4927</v>
      </c>
      <c r="F17" s="190">
        <f t="shared" si="1"/>
        <v>2133</v>
      </c>
      <c r="G17" s="192">
        <f t="shared" si="5"/>
        <v>0</v>
      </c>
      <c r="H17" s="192">
        <f t="shared" si="5"/>
        <v>0</v>
      </c>
      <c r="I17" s="192">
        <v>0</v>
      </c>
      <c r="J17" s="192">
        <v>0</v>
      </c>
      <c r="K17" s="190">
        <f t="shared" si="2"/>
        <v>0</v>
      </c>
      <c r="L17" s="190">
        <v>0</v>
      </c>
      <c r="M17" s="190">
        <v>0</v>
      </c>
      <c r="N17" s="190">
        <v>0</v>
      </c>
      <c r="O17" s="190">
        <v>0</v>
      </c>
      <c r="P17" s="193">
        <v>0</v>
      </c>
      <c r="Q17" s="290">
        <f t="shared" si="3"/>
        <v>51405</v>
      </c>
      <c r="R17" s="50"/>
      <c r="S17" s="954" t="s">
        <v>157</v>
      </c>
      <c r="T17" s="833"/>
      <c r="U17" s="833"/>
      <c r="V17" s="951">
        <f>IF('Emp.-Detail'!F16="NO",F37,0)</f>
        <v>0</v>
      </c>
      <c r="W17" s="951"/>
      <c r="X17" s="833" t="s">
        <v>167</v>
      </c>
      <c r="Y17" s="833"/>
      <c r="Z17" s="833"/>
      <c r="AA17" s="833"/>
      <c r="AB17" s="833"/>
      <c r="AC17" s="833"/>
      <c r="AD17" s="831">
        <f>F45</f>
        <v>0</v>
      </c>
      <c r="AE17" s="831"/>
      <c r="AF17" s="955"/>
      <c r="AG17" s="17"/>
    </row>
    <row r="18" spans="1:34" ht="19.5" customHeight="1">
      <c r="A18" s="187">
        <v>10</v>
      </c>
      <c r="B18" s="286">
        <v>42705</v>
      </c>
      <c r="C18" s="192">
        <f t="shared" si="6"/>
        <v>21330</v>
      </c>
      <c r="D18" s="190">
        <f>ROUND(C18*131%,0)</f>
        <v>27942</v>
      </c>
      <c r="E18" s="191">
        <f t="shared" si="0"/>
        <v>4927</v>
      </c>
      <c r="F18" s="190">
        <f t="shared" si="1"/>
        <v>2133</v>
      </c>
      <c r="G18" s="192">
        <f t="shared" si="5"/>
        <v>0</v>
      </c>
      <c r="H18" s="192">
        <f t="shared" si="5"/>
        <v>0</v>
      </c>
      <c r="I18" s="192">
        <v>0</v>
      </c>
      <c r="J18" s="192">
        <v>0</v>
      </c>
      <c r="K18" s="190">
        <f t="shared" si="2"/>
        <v>0</v>
      </c>
      <c r="L18" s="190">
        <v>0</v>
      </c>
      <c r="M18" s="190">
        <v>0</v>
      </c>
      <c r="N18" s="190">
        <v>0</v>
      </c>
      <c r="O18" s="190">
        <v>0</v>
      </c>
      <c r="P18" s="193">
        <v>0</v>
      </c>
      <c r="Q18" s="290">
        <f t="shared" si="3"/>
        <v>51405</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21330</v>
      </c>
      <c r="D19" s="190">
        <f>ROUND(C19*131%,0)</f>
        <v>27942</v>
      </c>
      <c r="E19" s="191">
        <f t="shared" si="0"/>
        <v>4927</v>
      </c>
      <c r="F19" s="190">
        <f t="shared" si="1"/>
        <v>2133</v>
      </c>
      <c r="G19" s="192">
        <f t="shared" si="5"/>
        <v>0</v>
      </c>
      <c r="H19" s="192">
        <f t="shared" si="5"/>
        <v>0</v>
      </c>
      <c r="I19" s="192">
        <v>0</v>
      </c>
      <c r="J19" s="192">
        <v>0</v>
      </c>
      <c r="K19" s="190">
        <f t="shared" si="2"/>
        <v>0</v>
      </c>
      <c r="L19" s="190">
        <v>0</v>
      </c>
      <c r="M19" s="190">
        <v>0</v>
      </c>
      <c r="N19" s="190">
        <v>0</v>
      </c>
      <c r="O19" s="190">
        <v>0</v>
      </c>
      <c r="P19" s="193">
        <v>0</v>
      </c>
      <c r="Q19" s="290">
        <f t="shared" si="3"/>
        <v>51405</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21330</v>
      </c>
      <c r="D20" s="190">
        <f>ROUND(C20*131%,0)</f>
        <v>27942</v>
      </c>
      <c r="E20" s="191">
        <f t="shared" si="0"/>
        <v>4927</v>
      </c>
      <c r="F20" s="190">
        <f t="shared" si="1"/>
        <v>2133</v>
      </c>
      <c r="G20" s="192">
        <f t="shared" si="5"/>
        <v>0</v>
      </c>
      <c r="H20" s="192">
        <f t="shared" si="5"/>
        <v>0</v>
      </c>
      <c r="I20" s="192">
        <v>0</v>
      </c>
      <c r="J20" s="192">
        <v>0</v>
      </c>
      <c r="K20" s="190">
        <f t="shared" si="2"/>
        <v>0</v>
      </c>
      <c r="L20" s="190">
        <v>0</v>
      </c>
      <c r="M20" s="190">
        <v>0</v>
      </c>
      <c r="N20" s="190">
        <v>0</v>
      </c>
      <c r="O20" s="190">
        <v>0</v>
      </c>
      <c r="P20" s="193">
        <v>0</v>
      </c>
      <c r="Q20" s="290">
        <f t="shared" si="3"/>
        <v>51405</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253440</v>
      </c>
      <c r="D21" s="287">
        <f>SUM(D9:D20)</f>
        <v>321957</v>
      </c>
      <c r="E21" s="288">
        <f>SUM(E9:E20)</f>
        <v>57539</v>
      </c>
      <c r="F21" s="287">
        <f>SUM(F9:F20)</f>
        <v>25344</v>
      </c>
      <c r="G21" s="287">
        <f t="shared" si="7"/>
        <v>0</v>
      </c>
      <c r="H21" s="287">
        <f>SUM(H9:H20)</f>
        <v>0</v>
      </c>
      <c r="I21" s="287">
        <f t="shared" si="7"/>
        <v>3726</v>
      </c>
      <c r="J21" s="287">
        <f t="shared" si="7"/>
        <v>3840</v>
      </c>
      <c r="K21" s="287">
        <f>SUM(K9:K20)</f>
        <v>757</v>
      </c>
      <c r="L21" s="287">
        <f t="shared" si="7"/>
        <v>23288</v>
      </c>
      <c r="M21" s="287">
        <f t="shared" si="7"/>
        <v>0</v>
      </c>
      <c r="N21" s="287">
        <f t="shared" si="7"/>
        <v>0</v>
      </c>
      <c r="O21" s="287">
        <f>SUM(O9:O20)</f>
        <v>0</v>
      </c>
      <c r="P21" s="289">
        <f>SUM(P9:P20)</f>
        <v>0</v>
      </c>
      <c r="Q21" s="84">
        <f>SUM(Q9:Q20)</f>
        <v>631595</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IF('Emp.-Detail'!F16="yes",E9)+IF('Emp.-Detail'!F16="NO",0)</f>
        <v>4533</v>
      </c>
      <c r="D25" s="192">
        <f>IF('Emp.-Detail'!F16="YES",K9)+IF('Emp.-Detail'!F16="NO",I9,0)</f>
        <v>373</v>
      </c>
      <c r="E25" s="195"/>
      <c r="F25" s="287">
        <f>SUM(C25:D25)</f>
        <v>4906</v>
      </c>
      <c r="G25" s="192">
        <v>0</v>
      </c>
      <c r="H25" s="194">
        <v>0</v>
      </c>
      <c r="I25" s="192">
        <v>3000</v>
      </c>
      <c r="J25" s="195">
        <v>0</v>
      </c>
      <c r="K25" s="195"/>
      <c r="L25" s="195">
        <v>0</v>
      </c>
      <c r="M25" s="196">
        <v>0</v>
      </c>
      <c r="N25" s="196">
        <v>0</v>
      </c>
      <c r="O25" s="196">
        <v>2000</v>
      </c>
      <c r="P25" s="192">
        <v>0</v>
      </c>
      <c r="Q25" s="297">
        <f>SUM(F25:P25)</f>
        <v>9906</v>
      </c>
      <c r="R25" s="50"/>
      <c r="S25" s="1084" t="s">
        <v>166</v>
      </c>
      <c r="T25" s="981"/>
      <c r="U25" s="982"/>
      <c r="V25" s="951">
        <f>F44</f>
        <v>0</v>
      </c>
      <c r="W25" s="951"/>
      <c r="X25" s="956" t="s">
        <v>175</v>
      </c>
      <c r="Y25" s="956"/>
      <c r="Z25" s="956"/>
      <c r="AA25" s="956"/>
      <c r="AB25" s="956"/>
      <c r="AC25" s="956"/>
      <c r="AD25" s="831">
        <f>P46</f>
        <v>58296</v>
      </c>
      <c r="AE25" s="831"/>
      <c r="AF25" s="955"/>
      <c r="AG25" s="17"/>
      <c r="AH25" s="2"/>
    </row>
    <row r="26" spans="1:34" ht="19.5" customHeight="1">
      <c r="A26" s="187">
        <v>2</v>
      </c>
      <c r="B26" s="296">
        <f t="shared" ref="B26:B36" si="8">B10</f>
        <v>42461</v>
      </c>
      <c r="C26" s="192">
        <f>IF('Emp.-Detail'!F16="yes",E10)+IF('Emp.-Detail'!F16="NO",0)</f>
        <v>4658</v>
      </c>
      <c r="D26" s="192">
        <f>IF('Emp.-Detail'!F16="YES",K10)+IF('Emp.-Detail'!F16="NO",I10,0)</f>
        <v>0</v>
      </c>
      <c r="E26" s="195"/>
      <c r="F26" s="287">
        <f t="shared" ref="F26:F37" si="9">SUM(C26:D26)</f>
        <v>4658</v>
      </c>
      <c r="G26" s="192">
        <f t="shared" ref="G26:O36" si="10">G25</f>
        <v>0</v>
      </c>
      <c r="H26" s="194">
        <f>H25</f>
        <v>0</v>
      </c>
      <c r="I26" s="192">
        <f t="shared" si="10"/>
        <v>3000</v>
      </c>
      <c r="J26" s="195">
        <f t="shared" si="10"/>
        <v>0</v>
      </c>
      <c r="K26" s="195"/>
      <c r="L26" s="195">
        <f t="shared" si="10"/>
        <v>0</v>
      </c>
      <c r="M26" s="196">
        <f t="shared" si="10"/>
        <v>0</v>
      </c>
      <c r="N26" s="196">
        <f t="shared" si="10"/>
        <v>0</v>
      </c>
      <c r="O26" s="196">
        <f t="shared" si="10"/>
        <v>2000</v>
      </c>
      <c r="P26" s="194">
        <f>'Emp.-Detail'!AB9+'Emp.-Detail'!AB9*14.5%</f>
        <v>251.9</v>
      </c>
      <c r="Q26" s="297">
        <f t="shared" ref="Q26:Q36" si="11">SUM(F26:P26)</f>
        <v>9909.9</v>
      </c>
      <c r="R26" s="50"/>
      <c r="S26" s="1089" t="s">
        <v>279</v>
      </c>
      <c r="T26" s="1090"/>
      <c r="U26" s="1090"/>
      <c r="V26" s="1090"/>
      <c r="W26" s="1090"/>
      <c r="X26" s="1090"/>
      <c r="Y26" s="1090"/>
      <c r="Z26" s="1090"/>
      <c r="AA26" s="1091"/>
      <c r="AB26" s="942">
        <f>SUM(V17:V25)+SUM(AD17:AD25)</f>
        <v>94516</v>
      </c>
      <c r="AC26" s="957"/>
      <c r="AD26" s="1135">
        <f>IF(AB26&lt;=150000,AB26,150000)+AD25</f>
        <v>152812</v>
      </c>
      <c r="AE26" s="1136"/>
      <c r="AF26" s="1137"/>
      <c r="AG26" s="17"/>
    </row>
    <row r="27" spans="1:34" ht="19.5" customHeight="1">
      <c r="A27" s="187">
        <v>3</v>
      </c>
      <c r="B27" s="296">
        <f t="shared" si="8"/>
        <v>42491</v>
      </c>
      <c r="C27" s="192">
        <f>IF('Emp.-Detail'!F16="yes",E11)+IF('Emp.-Detail'!F16="NO",0)</f>
        <v>4658</v>
      </c>
      <c r="D27" s="192">
        <f>IF('Emp.-Detail'!F16="YES",K11)+IF('Emp.-Detail'!F16="NO",I11,0)</f>
        <v>0</v>
      </c>
      <c r="E27" s="195"/>
      <c r="F27" s="287">
        <f t="shared" si="9"/>
        <v>4658</v>
      </c>
      <c r="G27" s="192">
        <f t="shared" si="10"/>
        <v>0</v>
      </c>
      <c r="H27" s="194">
        <f t="shared" si="10"/>
        <v>0</v>
      </c>
      <c r="I27" s="192">
        <f t="shared" si="10"/>
        <v>3000</v>
      </c>
      <c r="J27" s="195">
        <f t="shared" si="10"/>
        <v>0</v>
      </c>
      <c r="K27" s="195"/>
      <c r="L27" s="195">
        <f t="shared" si="10"/>
        <v>0</v>
      </c>
      <c r="M27" s="196">
        <f t="shared" si="10"/>
        <v>0</v>
      </c>
      <c r="N27" s="196">
        <f t="shared" si="10"/>
        <v>0</v>
      </c>
      <c r="O27" s="196">
        <f t="shared" si="10"/>
        <v>2000</v>
      </c>
      <c r="P27" s="192">
        <v>0</v>
      </c>
      <c r="Q27" s="297">
        <f t="shared" si="11"/>
        <v>9658</v>
      </c>
      <c r="R27" s="50"/>
      <c r="S27" s="1085" t="s">
        <v>592</v>
      </c>
      <c r="T27" s="1086"/>
      <c r="U27" s="1086"/>
      <c r="V27" s="1086"/>
      <c r="W27" s="1086"/>
      <c r="X27" s="1086"/>
      <c r="Y27" s="1086"/>
      <c r="Z27" s="1086"/>
      <c r="AA27" s="1086"/>
      <c r="AB27" s="1087">
        <f>AB5</f>
        <v>58296</v>
      </c>
      <c r="AC27" s="1088"/>
      <c r="AD27" s="831">
        <f>AD15-(AD26+AB5)</f>
        <v>478783</v>
      </c>
      <c r="AE27" s="831"/>
      <c r="AF27" s="955"/>
      <c r="AG27" s="17"/>
    </row>
    <row r="28" spans="1:34" ht="19.5" customHeight="1">
      <c r="A28" s="187">
        <v>4</v>
      </c>
      <c r="B28" s="296">
        <f t="shared" si="8"/>
        <v>42522</v>
      </c>
      <c r="C28" s="192">
        <f>IF('Emp.-Detail'!F16="yes",E12)+IF('Emp.-Detail'!F16="NO",0)</f>
        <v>4658</v>
      </c>
      <c r="D28" s="192">
        <f>IF('Emp.-Detail'!F16="YES",K12)+IF('Emp.-Detail'!F16="NO",I12,0)</f>
        <v>0</v>
      </c>
      <c r="E28" s="195"/>
      <c r="F28" s="287">
        <f t="shared" si="9"/>
        <v>4658</v>
      </c>
      <c r="G28" s="192">
        <f t="shared" si="10"/>
        <v>0</v>
      </c>
      <c r="H28" s="194">
        <f t="shared" si="10"/>
        <v>0</v>
      </c>
      <c r="I28" s="192">
        <f t="shared" si="10"/>
        <v>3000</v>
      </c>
      <c r="J28" s="195">
        <f t="shared" si="10"/>
        <v>0</v>
      </c>
      <c r="K28" s="195"/>
      <c r="L28" s="195">
        <f t="shared" si="10"/>
        <v>0</v>
      </c>
      <c r="M28" s="196">
        <f t="shared" si="10"/>
        <v>0</v>
      </c>
      <c r="N28" s="196">
        <f t="shared" si="10"/>
        <v>0</v>
      </c>
      <c r="O28" s="196">
        <f t="shared" si="10"/>
        <v>2000</v>
      </c>
      <c r="P28" s="192">
        <v>0</v>
      </c>
      <c r="Q28" s="297">
        <f t="shared" si="11"/>
        <v>9658</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IF('Emp.-Detail'!F16="yes",E13)+IF('Emp.-Detail'!F16="NO",0)</f>
        <v>4799</v>
      </c>
      <c r="D29" s="192">
        <f>IF('Emp.-Detail'!F16="YES",K13)+IF('Emp.-Detail'!F16="NO",I13,0)</f>
        <v>0</v>
      </c>
      <c r="E29" s="195"/>
      <c r="F29" s="287">
        <f t="shared" si="9"/>
        <v>4799</v>
      </c>
      <c r="G29" s="192">
        <f t="shared" si="10"/>
        <v>0</v>
      </c>
      <c r="H29" s="194">
        <f t="shared" si="10"/>
        <v>0</v>
      </c>
      <c r="I29" s="192">
        <f t="shared" si="10"/>
        <v>3000</v>
      </c>
      <c r="J29" s="195">
        <f t="shared" si="10"/>
        <v>0</v>
      </c>
      <c r="K29" s="195"/>
      <c r="L29" s="195">
        <f t="shared" si="10"/>
        <v>0</v>
      </c>
      <c r="M29" s="196">
        <f t="shared" si="10"/>
        <v>0</v>
      </c>
      <c r="N29" s="196">
        <f t="shared" si="10"/>
        <v>0</v>
      </c>
      <c r="O29" s="196">
        <f t="shared" si="10"/>
        <v>2000</v>
      </c>
      <c r="P29" s="192">
        <v>0</v>
      </c>
      <c r="Q29" s="297">
        <f t="shared" si="11"/>
        <v>9799</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IF('Emp.-Detail'!F16="yes",E14)+IF('Emp.-Detail'!F16="NO",0)</f>
        <v>4799</v>
      </c>
      <c r="D30" s="192">
        <f>IF('Emp.-Detail'!F16="YES",K14)+IF('Emp.-Detail'!F16="NO",J14,0)</f>
        <v>384</v>
      </c>
      <c r="E30" s="195"/>
      <c r="F30" s="287">
        <f t="shared" si="9"/>
        <v>5183</v>
      </c>
      <c r="G30" s="192">
        <f t="shared" si="10"/>
        <v>0</v>
      </c>
      <c r="H30" s="194">
        <f t="shared" si="10"/>
        <v>0</v>
      </c>
      <c r="I30" s="192">
        <f t="shared" si="10"/>
        <v>3000</v>
      </c>
      <c r="J30" s="195">
        <f t="shared" si="10"/>
        <v>0</v>
      </c>
      <c r="K30" s="195"/>
      <c r="L30" s="195">
        <f t="shared" si="10"/>
        <v>0</v>
      </c>
      <c r="M30" s="196">
        <f t="shared" si="10"/>
        <v>0</v>
      </c>
      <c r="N30" s="196">
        <f t="shared" si="10"/>
        <v>0</v>
      </c>
      <c r="O30" s="196">
        <f t="shared" si="10"/>
        <v>2000</v>
      </c>
      <c r="P30" s="192">
        <v>0</v>
      </c>
      <c r="Q30" s="297">
        <f t="shared" si="11"/>
        <v>10183</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IF('Emp.-Detail'!F16="yes",E15)+IF('Emp.-Detail'!F16="NO",0)</f>
        <v>4799</v>
      </c>
      <c r="D31" s="192">
        <f>IF('Emp.-Detail'!F16="YES",K15)+IF('Emp.-Detail'!F16="NO",J15,0)</f>
        <v>0</v>
      </c>
      <c r="E31" s="195"/>
      <c r="F31" s="287">
        <f t="shared" si="9"/>
        <v>4799</v>
      </c>
      <c r="G31" s="192">
        <f t="shared" si="10"/>
        <v>0</v>
      </c>
      <c r="H31" s="194">
        <f t="shared" si="10"/>
        <v>0</v>
      </c>
      <c r="I31" s="192">
        <f t="shared" si="10"/>
        <v>3000</v>
      </c>
      <c r="J31" s="195">
        <f t="shared" si="10"/>
        <v>0</v>
      </c>
      <c r="K31" s="195"/>
      <c r="L31" s="195">
        <f t="shared" si="10"/>
        <v>0</v>
      </c>
      <c r="M31" s="196">
        <f t="shared" si="10"/>
        <v>0</v>
      </c>
      <c r="N31" s="196">
        <f t="shared" si="10"/>
        <v>0</v>
      </c>
      <c r="O31" s="196">
        <f t="shared" si="10"/>
        <v>2000</v>
      </c>
      <c r="P31" s="192">
        <v>0</v>
      </c>
      <c r="Q31" s="297">
        <f t="shared" si="11"/>
        <v>9799</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IF('Emp.-Detail'!F16="yes",E16)+IF('Emp.-Detail'!F16="NO",0)</f>
        <v>4927</v>
      </c>
      <c r="D32" s="192">
        <f>IF('Emp.-Detail'!F16="YES",K16)+IF('Emp.-Detail'!F16="NO",J16,0)</f>
        <v>0</v>
      </c>
      <c r="E32" s="195"/>
      <c r="F32" s="287">
        <f t="shared" si="9"/>
        <v>4927</v>
      </c>
      <c r="G32" s="192">
        <f t="shared" si="10"/>
        <v>0</v>
      </c>
      <c r="H32" s="194">
        <f t="shared" si="10"/>
        <v>0</v>
      </c>
      <c r="I32" s="192">
        <f t="shared" si="10"/>
        <v>3000</v>
      </c>
      <c r="J32" s="195">
        <f t="shared" si="10"/>
        <v>0</v>
      </c>
      <c r="K32" s="195"/>
      <c r="L32" s="195">
        <f t="shared" si="10"/>
        <v>0</v>
      </c>
      <c r="M32" s="196">
        <f t="shared" si="10"/>
        <v>0</v>
      </c>
      <c r="N32" s="196">
        <f t="shared" si="10"/>
        <v>0</v>
      </c>
      <c r="O32" s="196">
        <f t="shared" si="10"/>
        <v>2000</v>
      </c>
      <c r="P32" s="192">
        <v>0</v>
      </c>
      <c r="Q32" s="297">
        <f t="shared" si="11"/>
        <v>9927</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IF('Emp.-Detail'!F16="yes",E17)+IF('Emp.-Detail'!F16="NO",0)</f>
        <v>4927</v>
      </c>
      <c r="D33" s="192">
        <f>IF('Emp.-Detail'!F16="YES",K17)+IF('Emp.-Detail'!F16="NO",J17,0)</f>
        <v>0</v>
      </c>
      <c r="E33" s="195"/>
      <c r="F33" s="287">
        <f t="shared" si="9"/>
        <v>4927</v>
      </c>
      <c r="G33" s="192">
        <f t="shared" si="10"/>
        <v>0</v>
      </c>
      <c r="H33" s="194">
        <f t="shared" si="10"/>
        <v>0</v>
      </c>
      <c r="I33" s="192">
        <f t="shared" si="10"/>
        <v>3000</v>
      </c>
      <c r="J33" s="195">
        <f t="shared" si="10"/>
        <v>0</v>
      </c>
      <c r="K33" s="195"/>
      <c r="L33" s="195">
        <f t="shared" si="10"/>
        <v>0</v>
      </c>
      <c r="M33" s="196">
        <f t="shared" si="10"/>
        <v>0</v>
      </c>
      <c r="N33" s="196">
        <f t="shared" si="10"/>
        <v>0</v>
      </c>
      <c r="O33" s="196">
        <f t="shared" si="10"/>
        <v>2000</v>
      </c>
      <c r="P33" s="192">
        <v>0</v>
      </c>
      <c r="Q33" s="297">
        <f t="shared" si="11"/>
        <v>9927</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IF('Emp.-Detail'!F16="yes",E18)+IF('Emp.-Detail'!F16="NO",0)</f>
        <v>4927</v>
      </c>
      <c r="D34" s="192">
        <f>IF('Emp.-Detail'!F16="YES",K18)+IF('Emp.-Detail'!F16="NO",J18,0)</f>
        <v>0</v>
      </c>
      <c r="E34" s="195"/>
      <c r="F34" s="287">
        <f t="shared" si="9"/>
        <v>4927</v>
      </c>
      <c r="G34" s="192">
        <f t="shared" si="10"/>
        <v>0</v>
      </c>
      <c r="H34" s="194">
        <f t="shared" si="10"/>
        <v>0</v>
      </c>
      <c r="I34" s="192">
        <f t="shared" si="10"/>
        <v>3000</v>
      </c>
      <c r="J34" s="195">
        <f t="shared" si="10"/>
        <v>0</v>
      </c>
      <c r="K34" s="195"/>
      <c r="L34" s="195">
        <f t="shared" si="10"/>
        <v>0</v>
      </c>
      <c r="M34" s="196">
        <f t="shared" si="10"/>
        <v>0</v>
      </c>
      <c r="N34" s="196">
        <f t="shared" si="10"/>
        <v>0</v>
      </c>
      <c r="O34" s="196">
        <f t="shared" si="10"/>
        <v>2000</v>
      </c>
      <c r="P34" s="192">
        <v>0</v>
      </c>
      <c r="Q34" s="297">
        <f t="shared" si="11"/>
        <v>9927</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IF('Emp.-Detail'!F16="yes",E19)+IF('Emp.-Detail'!F16="NO",0)</f>
        <v>4927</v>
      </c>
      <c r="D35" s="192">
        <f>IF('Emp.-Detail'!F16="YES",K19)+IF('Emp.-Detail'!F16="NO",J19,0)</f>
        <v>0</v>
      </c>
      <c r="E35" s="195"/>
      <c r="F35" s="287">
        <f t="shared" si="9"/>
        <v>4927</v>
      </c>
      <c r="G35" s="192">
        <f t="shared" si="10"/>
        <v>0</v>
      </c>
      <c r="H35" s="194">
        <f t="shared" si="10"/>
        <v>0</v>
      </c>
      <c r="I35" s="192">
        <f t="shared" si="10"/>
        <v>3000</v>
      </c>
      <c r="J35" s="195">
        <f t="shared" si="10"/>
        <v>0</v>
      </c>
      <c r="K35" s="195"/>
      <c r="L35" s="195">
        <f t="shared" si="10"/>
        <v>0</v>
      </c>
      <c r="M35" s="196">
        <f t="shared" si="10"/>
        <v>0</v>
      </c>
      <c r="N35" s="196">
        <f t="shared" si="10"/>
        <v>0</v>
      </c>
      <c r="O35" s="196">
        <f t="shared" si="10"/>
        <v>2000</v>
      </c>
      <c r="P35" s="192">
        <v>0</v>
      </c>
      <c r="Q35" s="297">
        <f t="shared" si="11"/>
        <v>9927</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IF('Emp.-Detail'!F16="yes",E20)+IF('Emp.-Detail'!F16="NO",0)</f>
        <v>4927</v>
      </c>
      <c r="D36" s="192">
        <f>IF('Emp.-Detail'!F16="YES",K20)+IF('Emp.-Detail'!F16="NO",J20,0)</f>
        <v>0</v>
      </c>
      <c r="E36" s="195"/>
      <c r="F36" s="287">
        <f t="shared" si="9"/>
        <v>4927</v>
      </c>
      <c r="G36" s="192">
        <f t="shared" si="10"/>
        <v>0</v>
      </c>
      <c r="H36" s="194">
        <f t="shared" si="10"/>
        <v>0</v>
      </c>
      <c r="I36" s="192">
        <f t="shared" si="10"/>
        <v>3000</v>
      </c>
      <c r="J36" s="195">
        <f t="shared" si="10"/>
        <v>0</v>
      </c>
      <c r="K36" s="195"/>
      <c r="L36" s="195">
        <f t="shared" si="10"/>
        <v>0</v>
      </c>
      <c r="M36" s="196">
        <f t="shared" si="10"/>
        <v>0</v>
      </c>
      <c r="N36" s="196">
        <f t="shared" si="10"/>
        <v>0</v>
      </c>
      <c r="O36" s="196">
        <f t="shared" si="10"/>
        <v>2000</v>
      </c>
      <c r="P36" s="192">
        <v>0</v>
      </c>
      <c r="Q36" s="297">
        <f t="shared" si="11"/>
        <v>9927</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57539</v>
      </c>
      <c r="D37" s="287">
        <f>SUM(D25:D36)</f>
        <v>757</v>
      </c>
      <c r="E37" s="306"/>
      <c r="F37" s="307">
        <f t="shared" si="9"/>
        <v>58296</v>
      </c>
      <c r="G37" s="287">
        <f t="shared" ref="G37:Q37" si="12">SUM(G25:G36)</f>
        <v>0</v>
      </c>
      <c r="H37" s="288">
        <f>SUM(H25:H36)</f>
        <v>0</v>
      </c>
      <c r="I37" s="287">
        <f t="shared" si="12"/>
        <v>36000</v>
      </c>
      <c r="J37" s="306">
        <f t="shared" si="12"/>
        <v>0</v>
      </c>
      <c r="K37" s="306"/>
      <c r="L37" s="306">
        <f t="shared" si="12"/>
        <v>0</v>
      </c>
      <c r="M37" s="308">
        <f t="shared" si="12"/>
        <v>0</v>
      </c>
      <c r="N37" s="308">
        <f t="shared" si="12"/>
        <v>0</v>
      </c>
      <c r="O37" s="308">
        <f t="shared" si="12"/>
        <v>24000</v>
      </c>
      <c r="P37" s="288">
        <f t="shared" si="12"/>
        <v>251.9</v>
      </c>
      <c r="Q37" s="305">
        <f t="shared" si="12"/>
        <v>118547.9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631595</v>
      </c>
      <c r="D38" s="860"/>
      <c r="E38" s="309"/>
      <c r="F38" s="310"/>
      <c r="G38" s="1001" t="s">
        <v>13</v>
      </c>
      <c r="H38" s="1001"/>
      <c r="I38" s="1001"/>
      <c r="J38" s="860">
        <f>Q37</f>
        <v>118547.9</v>
      </c>
      <c r="K38" s="860"/>
      <c r="L38" s="860"/>
      <c r="M38" s="310"/>
      <c r="N38" s="998" t="s">
        <v>15</v>
      </c>
      <c r="O38" s="998"/>
      <c r="P38" s="860">
        <f>Q21-Q37</f>
        <v>513047.1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478783</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478780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22878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17878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358</v>
      </c>
      <c r="V43" s="949"/>
      <c r="W43" s="949"/>
      <c r="X43" s="1067" t="s">
        <v>84</v>
      </c>
      <c r="Y43" s="1067"/>
      <c r="Z43" s="1067"/>
      <c r="AA43" s="953">
        <f>ROUND((AD42*1%),0)</f>
        <v>179</v>
      </c>
      <c r="AB43" s="953"/>
      <c r="AC43" s="953"/>
      <c r="AD43" s="951">
        <f>U43+AA43</f>
        <v>537</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18415</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IF('Emp.-Detail'!F16="NO",0,ROUND(E21+K21,0))</f>
        <v>58296</v>
      </c>
      <c r="Q46" s="943"/>
      <c r="R46" s="22"/>
      <c r="S46" s="1071" t="s">
        <v>87</v>
      </c>
      <c r="T46" s="1072"/>
      <c r="U46" s="1072"/>
      <c r="V46" s="1072"/>
      <c r="W46" s="1072"/>
      <c r="X46" s="1072"/>
      <c r="Y46" s="1072"/>
      <c r="Z46" s="1072"/>
      <c r="AA46" s="1072"/>
      <c r="AB46" s="1072"/>
      <c r="AC46" s="1072"/>
      <c r="AD46" s="796">
        <f>AD44-AD45</f>
        <v>18415</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t="str">
        <f>IF(AD46&gt;AD50,AD46-AD50,"0")</f>
        <v>0</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f>IF(AD50&gt;AD46,AD46-AD50,"0")</f>
        <v>-5585</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VIJAY CHOUDHARY</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689891</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689891</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689891</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VIJAY CHOUDHARY</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AHMPC9320N</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9461249175</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689891</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'Emp.-Detail'!O16</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0</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171707</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152737</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152936</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154215</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631595</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58296</v>
      </c>
      <c r="AA81" s="776"/>
      <c r="AB81" s="773">
        <f>SUM(Z67:Z81)</f>
        <v>94516</v>
      </c>
      <c r="AC81" s="1113"/>
      <c r="AD81" s="773">
        <f>AD26</f>
        <v>152812</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'Emp.-Detail'!N16</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'Emp.-Detail'!N16</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'Emp.-Detail'!N16</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'Emp.-Detail'!J16</f>
        <v>0</v>
      </c>
      <c r="C87" s="788"/>
      <c r="D87" s="776"/>
      <c r="E87" s="257"/>
      <c r="F87" s="1233" t="str">
        <f>'Emp.-Detail'!K16</f>
        <v>0</v>
      </c>
      <c r="G87" s="791"/>
      <c r="H87" s="791"/>
      <c r="I87" s="792"/>
      <c r="J87" s="810" t="str">
        <f>'Emp.-Detail'!L16</f>
        <v>00/00/0000</v>
      </c>
      <c r="K87" s="811"/>
      <c r="L87" s="811"/>
      <c r="M87" s="812"/>
      <c r="N87" s="1233" t="str">
        <f>'Emp.-Detail'!M16</f>
        <v>00</v>
      </c>
      <c r="O87" s="792"/>
      <c r="P87" s="793" t="str">
        <f>'Emp.-Detail'!N16</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152812</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478780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17878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537</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18415</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18415</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689891</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689891</v>
      </c>
      <c r="P104" s="776"/>
      <c r="Q104" s="258">
        <f>O104</f>
        <v>689891</v>
      </c>
      <c r="R104" s="235"/>
      <c r="S104" s="254"/>
      <c r="T104" s="229" t="str">
        <f>'DDO '!L10</f>
        <v>PRINCIPAL</v>
      </c>
      <c r="U104" s="229"/>
      <c r="V104" s="780" t="s">
        <v>51</v>
      </c>
      <c r="W104" s="780"/>
      <c r="X104" s="780"/>
      <c r="Y104" s="780"/>
      <c r="Z104" s="770">
        <f>AD100</f>
        <v>18415</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EIGHTEEN  Thousand  FOUR  Hundred  FIFTEEN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689891</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689891</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689891</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3"/>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3.xml><?xml version="1.0" encoding="utf-8"?>
<worksheet xmlns="http://schemas.openxmlformats.org/spreadsheetml/2006/main" xmlns:r="http://schemas.openxmlformats.org/officeDocument/2006/relationships">
  <dimension ref="A1:AJ150"/>
  <sheetViews>
    <sheetView view="pageBreakPreview" topLeftCell="A17" zoomScaleSheetLayoutView="100" workbookViewId="0">
      <selection activeCell="N28" sqref="N28"/>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KAMALESH KUMAR </v>
      </c>
      <c r="T3" s="538"/>
      <c r="U3" s="538"/>
      <c r="V3" s="538"/>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'Emp.-Detail'!B17</f>
        <v xml:space="preserve">KAMALESH KUMAR </v>
      </c>
      <c r="E4" s="949"/>
      <c r="F4" s="949"/>
      <c r="G4" s="949"/>
      <c r="H4" s="949"/>
      <c r="I4" s="854"/>
      <c r="J4" s="1185">
        <f>'Emp.-Detail'!A17</f>
        <v>9</v>
      </c>
      <c r="K4" s="1186"/>
      <c r="L4" s="1187"/>
      <c r="M4" s="982" t="s">
        <v>8</v>
      </c>
      <c r="N4" s="833"/>
      <c r="O4" s="833"/>
      <c r="P4" s="949" t="str">
        <f>'Emp.-Detail'!C17</f>
        <v>Lecturer</v>
      </c>
      <c r="Q4" s="950"/>
      <c r="R4" s="50"/>
      <c r="S4" s="1250" t="str">
        <f>D5</f>
        <v>DLLPK8818M</v>
      </c>
      <c r="T4" s="538"/>
      <c r="U4" s="538"/>
      <c r="V4" s="538"/>
      <c r="W4" s="959" t="str">
        <f>'Emp.-Detail'!H17</f>
        <v>61040613266</v>
      </c>
      <c r="X4" s="949"/>
      <c r="Y4" s="949"/>
      <c r="Z4" s="949"/>
      <c r="AA4" s="949" t="str">
        <f>'Emp.-Detail'!I17</f>
        <v>SBBJ, Sujangarh</v>
      </c>
      <c r="AB4" s="949"/>
      <c r="AC4" s="949"/>
      <c r="AD4" s="949"/>
      <c r="AE4" s="949"/>
      <c r="AF4" s="950"/>
      <c r="AG4" s="17"/>
    </row>
    <row r="5" spans="1:33" ht="19.5" customHeight="1" thickBot="1">
      <c r="A5" s="954" t="s">
        <v>135</v>
      </c>
      <c r="B5" s="833"/>
      <c r="C5" s="833"/>
      <c r="D5" s="949" t="str">
        <f>'Emp.-Detail'!D17</f>
        <v>DLLPK8818M</v>
      </c>
      <c r="E5" s="949"/>
      <c r="F5" s="949"/>
      <c r="G5" s="949"/>
      <c r="H5" s="949"/>
      <c r="I5" s="854"/>
      <c r="J5" s="1188"/>
      <c r="K5" s="1189"/>
      <c r="L5" s="1190"/>
      <c r="M5" s="982" t="s">
        <v>137</v>
      </c>
      <c r="N5" s="833"/>
      <c r="O5" s="833"/>
      <c r="P5" s="959">
        <f>'Emp.-Detail'!G17</f>
        <v>9772927694</v>
      </c>
      <c r="Q5" s="950"/>
      <c r="R5" s="50"/>
      <c r="S5" s="974" t="s">
        <v>203</v>
      </c>
      <c r="T5" s="975"/>
      <c r="U5" s="975"/>
      <c r="V5" s="975"/>
      <c r="W5" s="951">
        <f>SUM(Q9:Q20)</f>
        <v>607076</v>
      </c>
      <c r="X5" s="951"/>
      <c r="Y5" s="1248" t="s">
        <v>202</v>
      </c>
      <c r="Z5" s="1249"/>
      <c r="AA5" s="1088"/>
      <c r="AB5" s="951">
        <f>P46</f>
        <v>56038</v>
      </c>
      <c r="AC5" s="949"/>
      <c r="AD5" s="941">
        <f>W5+AB5</f>
        <v>663114</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663114</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663114</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663114</v>
      </c>
      <c r="AE8" s="942"/>
      <c r="AF8" s="943"/>
      <c r="AG8" s="17"/>
    </row>
    <row r="9" spans="1:33" ht="19.5" customHeight="1">
      <c r="A9" s="285">
        <v>1</v>
      </c>
      <c r="B9" s="286">
        <v>42430</v>
      </c>
      <c r="C9" s="190">
        <f>'Emp.-Detail'!E17</f>
        <v>19900</v>
      </c>
      <c r="D9" s="190">
        <f>ROUND(C9*119%,0)</f>
        <v>23681</v>
      </c>
      <c r="E9" s="191">
        <f>ROUND((C9+D9)*10%,0)</f>
        <v>4358</v>
      </c>
      <c r="F9" s="190">
        <f>ROUND(C9*10%,0)</f>
        <v>1990</v>
      </c>
      <c r="G9" s="190">
        <v>0</v>
      </c>
      <c r="H9" s="190">
        <v>0</v>
      </c>
      <c r="I9" s="192">
        <f>ROUND(C9*6%,0)*3</f>
        <v>3582</v>
      </c>
      <c r="J9" s="190">
        <v>0</v>
      </c>
      <c r="K9" s="190">
        <f>ROUND((I9+J9)*10%,0)</f>
        <v>358</v>
      </c>
      <c r="L9" s="190">
        <v>22388</v>
      </c>
      <c r="M9" s="190">
        <v>0</v>
      </c>
      <c r="N9" s="190">
        <v>0</v>
      </c>
      <c r="O9" s="190">
        <v>0</v>
      </c>
      <c r="P9" s="193">
        <v>0</v>
      </c>
      <c r="Q9" s="290">
        <f>C9+D9+F9+G9+H9+I9+J9+L9+M9+N9+O9</f>
        <v>71541</v>
      </c>
      <c r="R9" s="282"/>
      <c r="S9" s="984" t="s">
        <v>144</v>
      </c>
      <c r="T9" s="985"/>
      <c r="U9" s="985"/>
      <c r="V9" s="985"/>
      <c r="W9" s="985"/>
      <c r="X9" s="985"/>
      <c r="Y9" s="985"/>
      <c r="Z9" s="971" t="s">
        <v>18</v>
      </c>
      <c r="AA9" s="971"/>
      <c r="AB9" s="967">
        <f>O49</f>
        <v>0</v>
      </c>
      <c r="AC9" s="968"/>
      <c r="AD9" s="977">
        <f>AD8+AB9</f>
        <v>663114</v>
      </c>
      <c r="AE9" s="978"/>
      <c r="AF9" s="979"/>
      <c r="AG9" s="17"/>
    </row>
    <row r="10" spans="1:33" ht="19.5" customHeight="1">
      <c r="A10" s="187">
        <v>2</v>
      </c>
      <c r="B10" s="286">
        <v>42461</v>
      </c>
      <c r="C10" s="192">
        <f>C9</f>
        <v>19900</v>
      </c>
      <c r="D10" s="190">
        <f>ROUND(C10*125%,0)</f>
        <v>24875</v>
      </c>
      <c r="E10" s="191">
        <f t="shared" ref="E10:E20" si="0">ROUND((C10+D10)*10%,0)</f>
        <v>4478</v>
      </c>
      <c r="F10" s="190">
        <f t="shared" ref="F10:F20" si="1">ROUND(C10*10%,0)</f>
        <v>1990</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46765</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19900</v>
      </c>
      <c r="D11" s="190">
        <f t="shared" ref="D11:D15" si="4">ROUND(C11*125%,0)</f>
        <v>24875</v>
      </c>
      <c r="E11" s="191">
        <f t="shared" si="0"/>
        <v>4478</v>
      </c>
      <c r="F11" s="190">
        <f t="shared" si="1"/>
        <v>1990</v>
      </c>
      <c r="G11" s="192">
        <f t="shared" ref="G11:H20" si="5">G10</f>
        <v>0</v>
      </c>
      <c r="H11" s="192">
        <f t="shared" si="5"/>
        <v>0</v>
      </c>
      <c r="I11" s="192">
        <v>0</v>
      </c>
      <c r="J11" s="190">
        <v>0</v>
      </c>
      <c r="K11" s="190">
        <f t="shared" si="2"/>
        <v>0</v>
      </c>
      <c r="L11" s="190">
        <v>0</v>
      </c>
      <c r="M11" s="190">
        <v>0</v>
      </c>
      <c r="N11" s="190">
        <v>0</v>
      </c>
      <c r="O11" s="190">
        <v>0</v>
      </c>
      <c r="P11" s="193">
        <v>0</v>
      </c>
      <c r="Q11" s="290">
        <f t="shared" si="3"/>
        <v>46765</v>
      </c>
      <c r="R11" s="50"/>
      <c r="S11" s="292" t="s">
        <v>146</v>
      </c>
      <c r="T11" s="958">
        <f>O50</f>
        <v>0</v>
      </c>
      <c r="U11" s="948"/>
      <c r="V11" s="980">
        <f>O51</f>
        <v>0</v>
      </c>
      <c r="W11" s="958"/>
      <c r="X11" s="948"/>
      <c r="Y11" s="980">
        <f>Q49</f>
        <v>0</v>
      </c>
      <c r="Z11" s="958"/>
      <c r="AA11" s="948"/>
      <c r="AB11" s="980">
        <f>T11+V11+Y11</f>
        <v>0</v>
      </c>
      <c r="AC11" s="948"/>
      <c r="AD11" s="941">
        <f>AD9-AB11</f>
        <v>663114</v>
      </c>
      <c r="AE11" s="942"/>
      <c r="AF11" s="943"/>
      <c r="AG11" s="17"/>
    </row>
    <row r="12" spans="1:33" ht="19.5" customHeight="1">
      <c r="A12" s="187">
        <v>4</v>
      </c>
      <c r="B12" s="286">
        <v>42522</v>
      </c>
      <c r="C12" s="192">
        <f>C11</f>
        <v>19900</v>
      </c>
      <c r="D12" s="190">
        <f t="shared" si="4"/>
        <v>24875</v>
      </c>
      <c r="E12" s="191">
        <f t="shared" si="0"/>
        <v>4478</v>
      </c>
      <c r="F12" s="190">
        <f t="shared" si="1"/>
        <v>1990</v>
      </c>
      <c r="G12" s="192">
        <f t="shared" si="5"/>
        <v>0</v>
      </c>
      <c r="H12" s="192">
        <f t="shared" si="5"/>
        <v>0</v>
      </c>
      <c r="I12" s="192">
        <v>0</v>
      </c>
      <c r="J12" s="190">
        <v>0</v>
      </c>
      <c r="K12" s="190">
        <f t="shared" si="2"/>
        <v>0</v>
      </c>
      <c r="L12" s="190">
        <v>0</v>
      </c>
      <c r="M12" s="190">
        <v>0</v>
      </c>
      <c r="N12" s="190">
        <v>0</v>
      </c>
      <c r="O12" s="190">
        <v>0</v>
      </c>
      <c r="P12" s="193">
        <v>0</v>
      </c>
      <c r="Q12" s="290">
        <f t="shared" si="3"/>
        <v>46765</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20500</v>
      </c>
      <c r="D13" s="190">
        <f t="shared" si="4"/>
        <v>25625</v>
      </c>
      <c r="E13" s="191">
        <f t="shared" si="0"/>
        <v>4613</v>
      </c>
      <c r="F13" s="190">
        <f t="shared" si="1"/>
        <v>2050</v>
      </c>
      <c r="G13" s="192">
        <f t="shared" si="5"/>
        <v>0</v>
      </c>
      <c r="H13" s="192">
        <f t="shared" si="5"/>
        <v>0</v>
      </c>
      <c r="I13" s="192">
        <v>0</v>
      </c>
      <c r="J13" s="190">
        <v>0</v>
      </c>
      <c r="K13" s="190">
        <f t="shared" si="2"/>
        <v>0</v>
      </c>
      <c r="L13" s="190">
        <v>0</v>
      </c>
      <c r="M13" s="190">
        <v>0</v>
      </c>
      <c r="N13" s="190">
        <v>0</v>
      </c>
      <c r="O13" s="190">
        <v>0</v>
      </c>
      <c r="P13" s="193">
        <v>0</v>
      </c>
      <c r="Q13" s="290">
        <f t="shared" si="3"/>
        <v>48175</v>
      </c>
      <c r="R13" s="70"/>
      <c r="S13" s="991">
        <f>O52</f>
        <v>0</v>
      </c>
      <c r="T13" s="948"/>
      <c r="U13" s="980">
        <f>O53</f>
        <v>0</v>
      </c>
      <c r="V13" s="948"/>
      <c r="W13" s="980">
        <f>O54</f>
        <v>0</v>
      </c>
      <c r="X13" s="948"/>
      <c r="Y13" s="980">
        <f>O55</f>
        <v>0</v>
      </c>
      <c r="Z13" s="958"/>
      <c r="AA13" s="958"/>
      <c r="AB13" s="951">
        <f>SUM(S13:AA13)</f>
        <v>0</v>
      </c>
      <c r="AC13" s="951"/>
      <c r="AD13" s="941">
        <f>AD11+AB13</f>
        <v>663114</v>
      </c>
      <c r="AE13" s="965"/>
      <c r="AF13" s="966"/>
      <c r="AG13" s="17"/>
    </row>
    <row r="14" spans="1:33" ht="19.5" customHeight="1">
      <c r="A14" s="187">
        <v>6</v>
      </c>
      <c r="B14" s="286">
        <v>42583</v>
      </c>
      <c r="C14" s="192">
        <f t="shared" ref="C14:C20" si="6">C13</f>
        <v>20500</v>
      </c>
      <c r="D14" s="190">
        <f>ROUND(C14*125%,0)</f>
        <v>25625</v>
      </c>
      <c r="E14" s="191">
        <f t="shared" si="0"/>
        <v>4613</v>
      </c>
      <c r="F14" s="190">
        <f t="shared" si="1"/>
        <v>2050</v>
      </c>
      <c r="G14" s="192">
        <f t="shared" si="5"/>
        <v>0</v>
      </c>
      <c r="H14" s="192">
        <f t="shared" si="5"/>
        <v>0</v>
      </c>
      <c r="I14" s="192">
        <v>0</v>
      </c>
      <c r="J14" s="192">
        <f>ROUND(C13*6%,0)*3</f>
        <v>3690</v>
      </c>
      <c r="K14" s="190">
        <f t="shared" si="2"/>
        <v>369</v>
      </c>
      <c r="L14" s="190">
        <v>0</v>
      </c>
      <c r="M14" s="190">
        <v>0</v>
      </c>
      <c r="N14" s="190">
        <v>0</v>
      </c>
      <c r="O14" s="190">
        <v>0</v>
      </c>
      <c r="P14" s="193">
        <v>0</v>
      </c>
      <c r="Q14" s="290">
        <f t="shared" si="3"/>
        <v>51865</v>
      </c>
      <c r="R14" s="50"/>
      <c r="S14" s="954" t="s">
        <v>19</v>
      </c>
      <c r="T14" s="833"/>
      <c r="U14" s="833"/>
      <c r="V14" s="833"/>
      <c r="W14" s="833"/>
      <c r="X14" s="833"/>
      <c r="Y14" s="833"/>
      <c r="Z14" s="833"/>
      <c r="AA14" s="951">
        <f>I55</f>
        <v>0</v>
      </c>
      <c r="AB14" s="951"/>
      <c r="AC14" s="951"/>
      <c r="AD14" s="941">
        <f>AD13+AA14</f>
        <v>663114</v>
      </c>
      <c r="AE14" s="942"/>
      <c r="AF14" s="943"/>
      <c r="AG14" s="17"/>
    </row>
    <row r="15" spans="1:33" ht="19.5" customHeight="1">
      <c r="A15" s="187">
        <v>7</v>
      </c>
      <c r="B15" s="286">
        <v>42614</v>
      </c>
      <c r="C15" s="192">
        <f t="shared" si="6"/>
        <v>20500</v>
      </c>
      <c r="D15" s="190">
        <f t="shared" si="4"/>
        <v>25625</v>
      </c>
      <c r="E15" s="191">
        <f t="shared" si="0"/>
        <v>4613</v>
      </c>
      <c r="F15" s="190">
        <f t="shared" si="1"/>
        <v>2050</v>
      </c>
      <c r="G15" s="192">
        <f t="shared" si="5"/>
        <v>0</v>
      </c>
      <c r="H15" s="192">
        <f t="shared" si="5"/>
        <v>0</v>
      </c>
      <c r="I15" s="192">
        <v>0</v>
      </c>
      <c r="J15" s="192">
        <v>0</v>
      </c>
      <c r="K15" s="190">
        <f t="shared" si="2"/>
        <v>0</v>
      </c>
      <c r="L15" s="190">
        <v>0</v>
      </c>
      <c r="M15" s="190">
        <v>0</v>
      </c>
      <c r="N15" s="190">
        <v>0</v>
      </c>
      <c r="O15" s="190">
        <v>0</v>
      </c>
      <c r="P15" s="193">
        <v>0</v>
      </c>
      <c r="Q15" s="290">
        <f t="shared" si="3"/>
        <v>48175</v>
      </c>
      <c r="R15" s="50"/>
      <c r="S15" s="992" t="s">
        <v>20</v>
      </c>
      <c r="T15" s="993"/>
      <c r="U15" s="993"/>
      <c r="V15" s="993"/>
      <c r="W15" s="993"/>
      <c r="X15" s="993"/>
      <c r="Y15" s="993"/>
      <c r="Z15" s="993"/>
      <c r="AA15" s="993"/>
      <c r="AB15" s="993"/>
      <c r="AC15" s="993"/>
      <c r="AD15" s="941">
        <f>AD14</f>
        <v>663114</v>
      </c>
      <c r="AE15" s="942"/>
      <c r="AF15" s="943"/>
      <c r="AG15" s="17"/>
    </row>
    <row r="16" spans="1:33" ht="19.5" customHeight="1">
      <c r="A16" s="187">
        <v>8</v>
      </c>
      <c r="B16" s="286">
        <v>42644</v>
      </c>
      <c r="C16" s="192">
        <f t="shared" si="6"/>
        <v>20500</v>
      </c>
      <c r="D16" s="190">
        <f>ROUND(C16*131%,0)</f>
        <v>26855</v>
      </c>
      <c r="E16" s="191">
        <f t="shared" si="0"/>
        <v>4736</v>
      </c>
      <c r="F16" s="190">
        <f t="shared" si="1"/>
        <v>2050</v>
      </c>
      <c r="G16" s="192">
        <f t="shared" si="5"/>
        <v>0</v>
      </c>
      <c r="H16" s="192">
        <f t="shared" si="5"/>
        <v>0</v>
      </c>
      <c r="I16" s="192">
        <v>0</v>
      </c>
      <c r="J16" s="192">
        <v>0</v>
      </c>
      <c r="K16" s="190">
        <f t="shared" si="2"/>
        <v>0</v>
      </c>
      <c r="L16" s="190">
        <v>0</v>
      </c>
      <c r="M16" s="190">
        <v>0</v>
      </c>
      <c r="N16" s="190">
        <v>0</v>
      </c>
      <c r="O16" s="190">
        <v>0</v>
      </c>
      <c r="P16" s="193">
        <v>0</v>
      </c>
      <c r="Q16" s="290">
        <f t="shared" si="3"/>
        <v>49405</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20500</v>
      </c>
      <c r="D17" s="190">
        <f>ROUND(C17*131%,0)</f>
        <v>26855</v>
      </c>
      <c r="E17" s="191">
        <f t="shared" si="0"/>
        <v>4736</v>
      </c>
      <c r="F17" s="190">
        <f t="shared" si="1"/>
        <v>2050</v>
      </c>
      <c r="G17" s="192">
        <f t="shared" si="5"/>
        <v>0</v>
      </c>
      <c r="H17" s="192">
        <f t="shared" si="5"/>
        <v>0</v>
      </c>
      <c r="I17" s="192">
        <v>0</v>
      </c>
      <c r="J17" s="192">
        <v>0</v>
      </c>
      <c r="K17" s="190">
        <f t="shared" si="2"/>
        <v>0</v>
      </c>
      <c r="L17" s="190">
        <v>0</v>
      </c>
      <c r="M17" s="190">
        <v>0</v>
      </c>
      <c r="N17" s="190">
        <v>0</v>
      </c>
      <c r="O17" s="190">
        <v>0</v>
      </c>
      <c r="P17" s="193">
        <v>0</v>
      </c>
      <c r="Q17" s="290">
        <f t="shared" si="3"/>
        <v>49405</v>
      </c>
      <c r="R17" s="50"/>
      <c r="S17" s="954" t="s">
        <v>157</v>
      </c>
      <c r="T17" s="833"/>
      <c r="U17" s="833"/>
      <c r="V17" s="951">
        <f>IF('Emp.-Detail'!F17="NO",F37,0)</f>
        <v>0</v>
      </c>
      <c r="W17" s="951"/>
      <c r="X17" s="833" t="s">
        <v>167</v>
      </c>
      <c r="Y17" s="833"/>
      <c r="Z17" s="833"/>
      <c r="AA17" s="833"/>
      <c r="AB17" s="833"/>
      <c r="AC17" s="833"/>
      <c r="AD17" s="831">
        <f>F45</f>
        <v>0</v>
      </c>
      <c r="AE17" s="831"/>
      <c r="AF17" s="955"/>
      <c r="AG17" s="17"/>
    </row>
    <row r="18" spans="1:34" ht="19.5" customHeight="1">
      <c r="A18" s="187">
        <v>10</v>
      </c>
      <c r="B18" s="286">
        <v>42705</v>
      </c>
      <c r="C18" s="192">
        <f t="shared" si="6"/>
        <v>20500</v>
      </c>
      <c r="D18" s="190">
        <f>ROUND(C18*131%,0)</f>
        <v>26855</v>
      </c>
      <c r="E18" s="191">
        <f t="shared" si="0"/>
        <v>4736</v>
      </c>
      <c r="F18" s="190">
        <f t="shared" si="1"/>
        <v>2050</v>
      </c>
      <c r="G18" s="192">
        <f t="shared" si="5"/>
        <v>0</v>
      </c>
      <c r="H18" s="192">
        <f t="shared" si="5"/>
        <v>0</v>
      </c>
      <c r="I18" s="192">
        <v>0</v>
      </c>
      <c r="J18" s="192">
        <v>0</v>
      </c>
      <c r="K18" s="190">
        <f t="shared" si="2"/>
        <v>0</v>
      </c>
      <c r="L18" s="190">
        <v>0</v>
      </c>
      <c r="M18" s="190">
        <v>0</v>
      </c>
      <c r="N18" s="190">
        <v>0</v>
      </c>
      <c r="O18" s="190">
        <v>0</v>
      </c>
      <c r="P18" s="193">
        <v>0</v>
      </c>
      <c r="Q18" s="290">
        <f t="shared" si="3"/>
        <v>49405</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20500</v>
      </c>
      <c r="D19" s="190">
        <f>ROUND(C19*131%,0)</f>
        <v>26855</v>
      </c>
      <c r="E19" s="191">
        <f t="shared" si="0"/>
        <v>4736</v>
      </c>
      <c r="F19" s="190">
        <f t="shared" si="1"/>
        <v>2050</v>
      </c>
      <c r="G19" s="192">
        <f t="shared" si="5"/>
        <v>0</v>
      </c>
      <c r="H19" s="192">
        <f t="shared" si="5"/>
        <v>0</v>
      </c>
      <c r="I19" s="192">
        <v>0</v>
      </c>
      <c r="J19" s="192">
        <v>0</v>
      </c>
      <c r="K19" s="190">
        <f t="shared" si="2"/>
        <v>0</v>
      </c>
      <c r="L19" s="190">
        <v>0</v>
      </c>
      <c r="M19" s="190">
        <v>0</v>
      </c>
      <c r="N19" s="190">
        <v>0</v>
      </c>
      <c r="O19" s="190">
        <v>0</v>
      </c>
      <c r="P19" s="193">
        <v>0</v>
      </c>
      <c r="Q19" s="290">
        <f t="shared" si="3"/>
        <v>49405</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20500</v>
      </c>
      <c r="D20" s="190">
        <f>ROUND(C20*131%,0)</f>
        <v>26855</v>
      </c>
      <c r="E20" s="191">
        <f t="shared" si="0"/>
        <v>4736</v>
      </c>
      <c r="F20" s="190">
        <f t="shared" si="1"/>
        <v>2050</v>
      </c>
      <c r="G20" s="192">
        <f t="shared" si="5"/>
        <v>0</v>
      </c>
      <c r="H20" s="192">
        <f t="shared" si="5"/>
        <v>0</v>
      </c>
      <c r="I20" s="192">
        <v>0</v>
      </c>
      <c r="J20" s="192">
        <v>0</v>
      </c>
      <c r="K20" s="190">
        <f t="shared" si="2"/>
        <v>0</v>
      </c>
      <c r="L20" s="190">
        <v>0</v>
      </c>
      <c r="M20" s="190">
        <v>0</v>
      </c>
      <c r="N20" s="190">
        <v>0</v>
      </c>
      <c r="O20" s="190">
        <v>0</v>
      </c>
      <c r="P20" s="193">
        <v>0</v>
      </c>
      <c r="Q20" s="290">
        <f t="shared" si="3"/>
        <v>49405</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243600</v>
      </c>
      <c r="D21" s="287">
        <f>SUM(D9:D20)</f>
        <v>309456</v>
      </c>
      <c r="E21" s="288">
        <f>SUM(E9:E20)</f>
        <v>55311</v>
      </c>
      <c r="F21" s="287">
        <f>SUM(F9:F20)</f>
        <v>24360</v>
      </c>
      <c r="G21" s="287">
        <f t="shared" si="7"/>
        <v>0</v>
      </c>
      <c r="H21" s="287">
        <f>SUM(H9:H20)</f>
        <v>0</v>
      </c>
      <c r="I21" s="287">
        <f t="shared" si="7"/>
        <v>3582</v>
      </c>
      <c r="J21" s="287">
        <f t="shared" si="7"/>
        <v>3690</v>
      </c>
      <c r="K21" s="287">
        <f>SUM(K9:K20)</f>
        <v>727</v>
      </c>
      <c r="L21" s="287">
        <f t="shared" si="7"/>
        <v>22388</v>
      </c>
      <c r="M21" s="287">
        <f t="shared" si="7"/>
        <v>0</v>
      </c>
      <c r="N21" s="287">
        <f t="shared" si="7"/>
        <v>0</v>
      </c>
      <c r="O21" s="287">
        <f>SUM(O9:O20)</f>
        <v>0</v>
      </c>
      <c r="P21" s="289">
        <f>SUM(P9:P20)</f>
        <v>0</v>
      </c>
      <c r="Q21" s="84">
        <f>SUM(Q9:Q20)</f>
        <v>607076</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IF('Emp.-Detail'!F17="yes",E9)+IF('Emp.-Detail'!F17="NO",0)</f>
        <v>4358</v>
      </c>
      <c r="D25" s="192">
        <f>IF('Emp.-Detail'!F17="YES",K9)+IF('Emp.-Detail'!F17="NO",I9,0)</f>
        <v>358</v>
      </c>
      <c r="E25" s="195"/>
      <c r="F25" s="287">
        <f>SUM(C25:D25)</f>
        <v>4716</v>
      </c>
      <c r="G25" s="192">
        <v>0</v>
      </c>
      <c r="H25" s="194">
        <v>0</v>
      </c>
      <c r="I25" s="192">
        <v>3000</v>
      </c>
      <c r="J25" s="195">
        <v>0</v>
      </c>
      <c r="K25" s="195"/>
      <c r="L25" s="195">
        <v>0</v>
      </c>
      <c r="M25" s="196">
        <v>0</v>
      </c>
      <c r="N25" s="196">
        <v>0</v>
      </c>
      <c r="O25" s="196">
        <v>2000</v>
      </c>
      <c r="P25" s="192">
        <v>0</v>
      </c>
      <c r="Q25" s="297">
        <f>SUM(F25:P25)</f>
        <v>9716</v>
      </c>
      <c r="R25" s="50"/>
      <c r="S25" s="1084" t="s">
        <v>166</v>
      </c>
      <c r="T25" s="981"/>
      <c r="U25" s="982"/>
      <c r="V25" s="951">
        <f>F44</f>
        <v>0</v>
      </c>
      <c r="W25" s="951"/>
      <c r="X25" s="956" t="s">
        <v>175</v>
      </c>
      <c r="Y25" s="956"/>
      <c r="Z25" s="956"/>
      <c r="AA25" s="956"/>
      <c r="AB25" s="956"/>
      <c r="AC25" s="956"/>
      <c r="AD25" s="831">
        <f>P46</f>
        <v>56038</v>
      </c>
      <c r="AE25" s="831"/>
      <c r="AF25" s="955"/>
      <c r="AG25" s="17"/>
      <c r="AH25" s="2"/>
    </row>
    <row r="26" spans="1:34" ht="19.5" customHeight="1">
      <c r="A26" s="187">
        <v>2</v>
      </c>
      <c r="B26" s="296">
        <f t="shared" ref="B26:B36" si="8">B10</f>
        <v>42461</v>
      </c>
      <c r="C26" s="192">
        <f>IF('Emp.-Detail'!F17="yes",E10)+IF('Emp.-Detail'!F17="NO",0)</f>
        <v>4478</v>
      </c>
      <c r="D26" s="192">
        <f>IF('Emp.-Detail'!F17="YES",K10)+IF('Emp.-Detail'!F17="NO",I10,0)</f>
        <v>0</v>
      </c>
      <c r="E26" s="195"/>
      <c r="F26" s="287">
        <f t="shared" ref="F26:F37" si="9">SUM(C26:D26)</f>
        <v>4478</v>
      </c>
      <c r="G26" s="192">
        <f t="shared" ref="G26:O36" si="10">G25</f>
        <v>0</v>
      </c>
      <c r="H26" s="194">
        <f>H25</f>
        <v>0</v>
      </c>
      <c r="I26" s="192">
        <f t="shared" si="10"/>
        <v>3000</v>
      </c>
      <c r="J26" s="195">
        <f t="shared" si="10"/>
        <v>0</v>
      </c>
      <c r="K26" s="195"/>
      <c r="L26" s="195">
        <f t="shared" si="10"/>
        <v>0</v>
      </c>
      <c r="M26" s="196">
        <f t="shared" si="10"/>
        <v>0</v>
      </c>
      <c r="N26" s="196">
        <f t="shared" si="10"/>
        <v>0</v>
      </c>
      <c r="O26" s="196">
        <f t="shared" si="10"/>
        <v>2000</v>
      </c>
      <c r="P26" s="194">
        <f>'Emp.-Detail'!AB9+'Emp.-Detail'!AB9*14.5%</f>
        <v>251.9</v>
      </c>
      <c r="Q26" s="297">
        <f t="shared" ref="Q26:Q36" si="11">SUM(F26:P26)</f>
        <v>9729.9</v>
      </c>
      <c r="R26" s="50"/>
      <c r="S26" s="1089" t="s">
        <v>279</v>
      </c>
      <c r="T26" s="1090"/>
      <c r="U26" s="1090"/>
      <c r="V26" s="1090"/>
      <c r="W26" s="1090"/>
      <c r="X26" s="1090"/>
      <c r="Y26" s="1090"/>
      <c r="Z26" s="1090"/>
      <c r="AA26" s="1091"/>
      <c r="AB26" s="942">
        <f>SUM(V17:V25)+SUM(AD17:AD25)</f>
        <v>92258</v>
      </c>
      <c r="AC26" s="957"/>
      <c r="AD26" s="1135">
        <f>IF(AB26&lt;=150000,AB26,150000)</f>
        <v>92258</v>
      </c>
      <c r="AE26" s="1136"/>
      <c r="AF26" s="1137"/>
      <c r="AG26" s="17"/>
    </row>
    <row r="27" spans="1:34" ht="19.5" customHeight="1">
      <c r="A27" s="187">
        <v>3</v>
      </c>
      <c r="B27" s="296">
        <f t="shared" si="8"/>
        <v>42491</v>
      </c>
      <c r="C27" s="192">
        <f>IF('Emp.-Detail'!F17="yes",E11)+IF('Emp.-Detail'!F17="NO",0)</f>
        <v>4478</v>
      </c>
      <c r="D27" s="192">
        <f>IF('Emp.-Detail'!F17="YES",K11)+IF('Emp.-Detail'!F17="NO",I11,0)</f>
        <v>0</v>
      </c>
      <c r="E27" s="195"/>
      <c r="F27" s="287">
        <f t="shared" si="9"/>
        <v>4478</v>
      </c>
      <c r="G27" s="192">
        <f t="shared" si="10"/>
        <v>0</v>
      </c>
      <c r="H27" s="194">
        <f t="shared" si="10"/>
        <v>0</v>
      </c>
      <c r="I27" s="192">
        <f t="shared" si="10"/>
        <v>3000</v>
      </c>
      <c r="J27" s="195">
        <f t="shared" si="10"/>
        <v>0</v>
      </c>
      <c r="K27" s="195"/>
      <c r="L27" s="195">
        <f t="shared" si="10"/>
        <v>0</v>
      </c>
      <c r="M27" s="196">
        <f t="shared" si="10"/>
        <v>0</v>
      </c>
      <c r="N27" s="196">
        <f t="shared" si="10"/>
        <v>0</v>
      </c>
      <c r="O27" s="196">
        <f t="shared" si="10"/>
        <v>2000</v>
      </c>
      <c r="P27" s="192">
        <v>0</v>
      </c>
      <c r="Q27" s="297">
        <f t="shared" si="11"/>
        <v>9478</v>
      </c>
      <c r="R27" s="50"/>
      <c r="S27" s="1085" t="s">
        <v>592</v>
      </c>
      <c r="T27" s="1086"/>
      <c r="U27" s="1086"/>
      <c r="V27" s="1086"/>
      <c r="W27" s="1086"/>
      <c r="X27" s="1086"/>
      <c r="Y27" s="1086"/>
      <c r="Z27" s="1086"/>
      <c r="AA27" s="1086"/>
      <c r="AB27" s="1087">
        <f>AB5</f>
        <v>56038</v>
      </c>
      <c r="AC27" s="1088"/>
      <c r="AD27" s="831">
        <f>AD15-(AD26+AB5)</f>
        <v>514818</v>
      </c>
      <c r="AE27" s="831"/>
      <c r="AF27" s="955"/>
      <c r="AG27" s="17"/>
    </row>
    <row r="28" spans="1:34" ht="19.5" customHeight="1">
      <c r="A28" s="187">
        <v>4</v>
      </c>
      <c r="B28" s="296">
        <f t="shared" si="8"/>
        <v>42522</v>
      </c>
      <c r="C28" s="192">
        <f>IF('Emp.-Detail'!F17="yes",E12)+IF('Emp.-Detail'!F17="NO",0)</f>
        <v>4478</v>
      </c>
      <c r="D28" s="192">
        <f>IF('Emp.-Detail'!F17="YES",K12)+IF('Emp.-Detail'!F17="NO",I12,0)</f>
        <v>0</v>
      </c>
      <c r="E28" s="195"/>
      <c r="F28" s="287">
        <f t="shared" si="9"/>
        <v>4478</v>
      </c>
      <c r="G28" s="192">
        <f t="shared" si="10"/>
        <v>0</v>
      </c>
      <c r="H28" s="194">
        <f t="shared" si="10"/>
        <v>0</v>
      </c>
      <c r="I28" s="192">
        <f t="shared" si="10"/>
        <v>3000</v>
      </c>
      <c r="J28" s="195">
        <f t="shared" si="10"/>
        <v>0</v>
      </c>
      <c r="K28" s="195"/>
      <c r="L28" s="195">
        <f t="shared" si="10"/>
        <v>0</v>
      </c>
      <c r="M28" s="196">
        <f t="shared" si="10"/>
        <v>0</v>
      </c>
      <c r="N28" s="196">
        <f t="shared" si="10"/>
        <v>0</v>
      </c>
      <c r="O28" s="196">
        <f t="shared" si="10"/>
        <v>2000</v>
      </c>
      <c r="P28" s="192">
        <v>0</v>
      </c>
      <c r="Q28" s="297">
        <f t="shared" si="11"/>
        <v>9478</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IF('Emp.-Detail'!F17="yes",E13)+IF('Emp.-Detail'!F17="NO",0)</f>
        <v>4613</v>
      </c>
      <c r="D29" s="192">
        <f>IF('Emp.-Detail'!F17="YES",K13)+IF('Emp.-Detail'!F17="NO",I13,0)</f>
        <v>0</v>
      </c>
      <c r="E29" s="195"/>
      <c r="F29" s="287">
        <f t="shared" si="9"/>
        <v>4613</v>
      </c>
      <c r="G29" s="192">
        <f t="shared" si="10"/>
        <v>0</v>
      </c>
      <c r="H29" s="194">
        <f t="shared" si="10"/>
        <v>0</v>
      </c>
      <c r="I29" s="192">
        <f t="shared" si="10"/>
        <v>3000</v>
      </c>
      <c r="J29" s="195">
        <f t="shared" si="10"/>
        <v>0</v>
      </c>
      <c r="K29" s="195"/>
      <c r="L29" s="195">
        <f t="shared" si="10"/>
        <v>0</v>
      </c>
      <c r="M29" s="196">
        <f t="shared" si="10"/>
        <v>0</v>
      </c>
      <c r="N29" s="196">
        <f t="shared" si="10"/>
        <v>0</v>
      </c>
      <c r="O29" s="196">
        <f t="shared" si="10"/>
        <v>2000</v>
      </c>
      <c r="P29" s="192">
        <v>0</v>
      </c>
      <c r="Q29" s="297">
        <f t="shared" si="11"/>
        <v>9613</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IF('Emp.-Detail'!F17="yes",E14)+IF('Emp.-Detail'!F17="NO",0)</f>
        <v>4613</v>
      </c>
      <c r="D30" s="192">
        <f>IF('Emp.-Detail'!F17="YES",K14)+IF('Emp.-Detail'!F17="NO",J14,0)</f>
        <v>369</v>
      </c>
      <c r="E30" s="195"/>
      <c r="F30" s="287">
        <f t="shared" si="9"/>
        <v>4982</v>
      </c>
      <c r="G30" s="192">
        <f t="shared" si="10"/>
        <v>0</v>
      </c>
      <c r="H30" s="194">
        <f t="shared" si="10"/>
        <v>0</v>
      </c>
      <c r="I30" s="192">
        <f t="shared" si="10"/>
        <v>3000</v>
      </c>
      <c r="J30" s="195">
        <f t="shared" si="10"/>
        <v>0</v>
      </c>
      <c r="K30" s="195"/>
      <c r="L30" s="195">
        <f t="shared" si="10"/>
        <v>0</v>
      </c>
      <c r="M30" s="196">
        <f t="shared" si="10"/>
        <v>0</v>
      </c>
      <c r="N30" s="196">
        <f t="shared" si="10"/>
        <v>0</v>
      </c>
      <c r="O30" s="196">
        <f t="shared" si="10"/>
        <v>2000</v>
      </c>
      <c r="P30" s="192">
        <v>0</v>
      </c>
      <c r="Q30" s="297">
        <f t="shared" si="11"/>
        <v>9982</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IF('Emp.-Detail'!F17="yes",E15)+IF('Emp.-Detail'!F17="NO",0)</f>
        <v>4613</v>
      </c>
      <c r="D31" s="192">
        <f>IF('Emp.-Detail'!F17="YES",K15)+IF('Emp.-Detail'!F17="NO",J15,0)</f>
        <v>0</v>
      </c>
      <c r="E31" s="195"/>
      <c r="F31" s="287">
        <f t="shared" si="9"/>
        <v>4613</v>
      </c>
      <c r="G31" s="192">
        <f t="shared" si="10"/>
        <v>0</v>
      </c>
      <c r="H31" s="194">
        <f t="shared" si="10"/>
        <v>0</v>
      </c>
      <c r="I31" s="192">
        <f t="shared" si="10"/>
        <v>3000</v>
      </c>
      <c r="J31" s="195">
        <f t="shared" si="10"/>
        <v>0</v>
      </c>
      <c r="K31" s="195"/>
      <c r="L31" s="195">
        <f t="shared" si="10"/>
        <v>0</v>
      </c>
      <c r="M31" s="196">
        <f t="shared" si="10"/>
        <v>0</v>
      </c>
      <c r="N31" s="196">
        <f t="shared" si="10"/>
        <v>0</v>
      </c>
      <c r="O31" s="196">
        <f t="shared" si="10"/>
        <v>2000</v>
      </c>
      <c r="P31" s="192">
        <v>0</v>
      </c>
      <c r="Q31" s="297">
        <f t="shared" si="11"/>
        <v>9613</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IF('Emp.-Detail'!F17="yes",E16)+IF('Emp.-Detail'!F17="NO",0)</f>
        <v>4736</v>
      </c>
      <c r="D32" s="192">
        <f>IF('Emp.-Detail'!F17="YES",K16)+IF('Emp.-Detail'!F17="NO",J16,0)</f>
        <v>0</v>
      </c>
      <c r="E32" s="195"/>
      <c r="F32" s="287">
        <f t="shared" si="9"/>
        <v>4736</v>
      </c>
      <c r="G32" s="192">
        <f t="shared" si="10"/>
        <v>0</v>
      </c>
      <c r="H32" s="194">
        <f t="shared" si="10"/>
        <v>0</v>
      </c>
      <c r="I32" s="192">
        <f t="shared" si="10"/>
        <v>3000</v>
      </c>
      <c r="J32" s="195">
        <f t="shared" si="10"/>
        <v>0</v>
      </c>
      <c r="K32" s="195"/>
      <c r="L32" s="195">
        <f t="shared" si="10"/>
        <v>0</v>
      </c>
      <c r="M32" s="196">
        <f t="shared" si="10"/>
        <v>0</v>
      </c>
      <c r="N32" s="196">
        <f t="shared" si="10"/>
        <v>0</v>
      </c>
      <c r="O32" s="196">
        <f t="shared" si="10"/>
        <v>2000</v>
      </c>
      <c r="P32" s="192">
        <v>0</v>
      </c>
      <c r="Q32" s="297">
        <f t="shared" si="11"/>
        <v>9736</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IF('Emp.-Detail'!F17="yes",E17)+IF('Emp.-Detail'!F17="NO",0)</f>
        <v>4736</v>
      </c>
      <c r="D33" s="192">
        <f>IF('Emp.-Detail'!F17="YES",K17)+IF('Emp.-Detail'!F17="NO",J17,0)</f>
        <v>0</v>
      </c>
      <c r="E33" s="195"/>
      <c r="F33" s="287">
        <f t="shared" si="9"/>
        <v>4736</v>
      </c>
      <c r="G33" s="192">
        <f t="shared" si="10"/>
        <v>0</v>
      </c>
      <c r="H33" s="194">
        <f t="shared" si="10"/>
        <v>0</v>
      </c>
      <c r="I33" s="192">
        <f t="shared" si="10"/>
        <v>3000</v>
      </c>
      <c r="J33" s="195">
        <f t="shared" si="10"/>
        <v>0</v>
      </c>
      <c r="K33" s="195"/>
      <c r="L33" s="195">
        <f t="shared" si="10"/>
        <v>0</v>
      </c>
      <c r="M33" s="196">
        <f t="shared" si="10"/>
        <v>0</v>
      </c>
      <c r="N33" s="196">
        <f t="shared" si="10"/>
        <v>0</v>
      </c>
      <c r="O33" s="196">
        <f t="shared" si="10"/>
        <v>2000</v>
      </c>
      <c r="P33" s="192">
        <v>0</v>
      </c>
      <c r="Q33" s="297">
        <f t="shared" si="11"/>
        <v>9736</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IF('Emp.-Detail'!F17="yes",E18)+IF('Emp.-Detail'!F17="NO",0)</f>
        <v>4736</v>
      </c>
      <c r="D34" s="192">
        <f>IF('Emp.-Detail'!F17="YES",K18)+IF('Emp.-Detail'!F17="NO",J18,0)</f>
        <v>0</v>
      </c>
      <c r="E34" s="195"/>
      <c r="F34" s="287">
        <f t="shared" si="9"/>
        <v>4736</v>
      </c>
      <c r="G34" s="192">
        <f t="shared" si="10"/>
        <v>0</v>
      </c>
      <c r="H34" s="194">
        <f t="shared" si="10"/>
        <v>0</v>
      </c>
      <c r="I34" s="192">
        <f t="shared" si="10"/>
        <v>3000</v>
      </c>
      <c r="J34" s="195">
        <f t="shared" si="10"/>
        <v>0</v>
      </c>
      <c r="K34" s="195"/>
      <c r="L34" s="195">
        <f t="shared" si="10"/>
        <v>0</v>
      </c>
      <c r="M34" s="196">
        <f t="shared" si="10"/>
        <v>0</v>
      </c>
      <c r="N34" s="196">
        <f t="shared" si="10"/>
        <v>0</v>
      </c>
      <c r="O34" s="196">
        <f t="shared" si="10"/>
        <v>2000</v>
      </c>
      <c r="P34" s="192">
        <v>0</v>
      </c>
      <c r="Q34" s="297">
        <f t="shared" si="11"/>
        <v>9736</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IF('Emp.-Detail'!F17="yes",E19)+IF('Emp.-Detail'!F17="NO",0)</f>
        <v>4736</v>
      </c>
      <c r="D35" s="192">
        <f>IF('Emp.-Detail'!F17="YES",K19)+IF('Emp.-Detail'!F17="NO",J19,0)</f>
        <v>0</v>
      </c>
      <c r="E35" s="195"/>
      <c r="F35" s="287">
        <f t="shared" si="9"/>
        <v>4736</v>
      </c>
      <c r="G35" s="192">
        <f t="shared" si="10"/>
        <v>0</v>
      </c>
      <c r="H35" s="194">
        <f t="shared" si="10"/>
        <v>0</v>
      </c>
      <c r="I35" s="192">
        <f t="shared" si="10"/>
        <v>3000</v>
      </c>
      <c r="J35" s="195">
        <f t="shared" si="10"/>
        <v>0</v>
      </c>
      <c r="K35" s="195"/>
      <c r="L35" s="195">
        <f t="shared" si="10"/>
        <v>0</v>
      </c>
      <c r="M35" s="196">
        <f t="shared" si="10"/>
        <v>0</v>
      </c>
      <c r="N35" s="196">
        <f t="shared" si="10"/>
        <v>0</v>
      </c>
      <c r="O35" s="196">
        <f t="shared" si="10"/>
        <v>2000</v>
      </c>
      <c r="P35" s="192">
        <v>0</v>
      </c>
      <c r="Q35" s="297">
        <f t="shared" si="11"/>
        <v>9736</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IF('Emp.-Detail'!F17="yes",E20)+IF('Emp.-Detail'!F17="NO",0)</f>
        <v>4736</v>
      </c>
      <c r="D36" s="192">
        <f>IF('Emp.-Detail'!F17="YES",K20)+IF('Emp.-Detail'!F17="NO",J20,0)</f>
        <v>0</v>
      </c>
      <c r="E36" s="195"/>
      <c r="F36" s="287">
        <f t="shared" si="9"/>
        <v>4736</v>
      </c>
      <c r="G36" s="192">
        <f t="shared" si="10"/>
        <v>0</v>
      </c>
      <c r="H36" s="194">
        <f t="shared" si="10"/>
        <v>0</v>
      </c>
      <c r="I36" s="192">
        <f t="shared" si="10"/>
        <v>3000</v>
      </c>
      <c r="J36" s="195">
        <f t="shared" si="10"/>
        <v>0</v>
      </c>
      <c r="K36" s="195"/>
      <c r="L36" s="195">
        <f t="shared" si="10"/>
        <v>0</v>
      </c>
      <c r="M36" s="196">
        <f t="shared" si="10"/>
        <v>0</v>
      </c>
      <c r="N36" s="196">
        <f t="shared" si="10"/>
        <v>0</v>
      </c>
      <c r="O36" s="196">
        <f t="shared" si="10"/>
        <v>2000</v>
      </c>
      <c r="P36" s="192">
        <v>0</v>
      </c>
      <c r="Q36" s="297">
        <f t="shared" si="11"/>
        <v>9736</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55311</v>
      </c>
      <c r="D37" s="287">
        <f>SUM(D25:D36)</f>
        <v>727</v>
      </c>
      <c r="E37" s="306"/>
      <c r="F37" s="307">
        <f t="shared" si="9"/>
        <v>56038</v>
      </c>
      <c r="G37" s="287">
        <f t="shared" ref="G37:Q37" si="12">SUM(G25:G36)</f>
        <v>0</v>
      </c>
      <c r="H37" s="288">
        <f>SUM(H25:H36)</f>
        <v>0</v>
      </c>
      <c r="I37" s="287">
        <f t="shared" si="12"/>
        <v>36000</v>
      </c>
      <c r="J37" s="306">
        <f t="shared" si="12"/>
        <v>0</v>
      </c>
      <c r="K37" s="306"/>
      <c r="L37" s="306">
        <f t="shared" si="12"/>
        <v>0</v>
      </c>
      <c r="M37" s="308">
        <f t="shared" si="12"/>
        <v>0</v>
      </c>
      <c r="N37" s="308">
        <f t="shared" si="12"/>
        <v>0</v>
      </c>
      <c r="O37" s="308">
        <f t="shared" si="12"/>
        <v>24000</v>
      </c>
      <c r="P37" s="288">
        <f t="shared" si="12"/>
        <v>251.9</v>
      </c>
      <c r="Q37" s="305">
        <f t="shared" si="12"/>
        <v>116289.9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607076</v>
      </c>
      <c r="D38" s="860"/>
      <c r="E38" s="309"/>
      <c r="F38" s="310"/>
      <c r="G38" s="1001" t="s">
        <v>13</v>
      </c>
      <c r="H38" s="1001"/>
      <c r="I38" s="1001"/>
      <c r="J38" s="860">
        <f>Q37</f>
        <v>116289.9</v>
      </c>
      <c r="K38" s="860"/>
      <c r="L38" s="860"/>
      <c r="M38" s="310"/>
      <c r="N38" s="998" t="s">
        <v>15</v>
      </c>
      <c r="O38" s="998"/>
      <c r="P38" s="860">
        <f>Q21-Q37</f>
        <v>490786.1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514818</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514820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27964</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27964</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559</v>
      </c>
      <c r="V43" s="949"/>
      <c r="W43" s="949"/>
      <c r="X43" s="1067" t="s">
        <v>84</v>
      </c>
      <c r="Y43" s="1067"/>
      <c r="Z43" s="1067"/>
      <c r="AA43" s="953">
        <f>ROUND((AD42*1%),0)</f>
        <v>280</v>
      </c>
      <c r="AB43" s="953"/>
      <c r="AC43" s="953"/>
      <c r="AD43" s="951">
        <f>U43+AA43</f>
        <v>839</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28803</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IF('Emp.-Detail'!F17="NO",0,ROUND(E21+K21,0))</f>
        <v>56038</v>
      </c>
      <c r="Q46" s="943"/>
      <c r="R46" s="22"/>
      <c r="S46" s="1071" t="s">
        <v>87</v>
      </c>
      <c r="T46" s="1072"/>
      <c r="U46" s="1072"/>
      <c r="V46" s="1072"/>
      <c r="W46" s="1072"/>
      <c r="X46" s="1072"/>
      <c r="Y46" s="1072"/>
      <c r="Z46" s="1072"/>
      <c r="AA46" s="1072"/>
      <c r="AB46" s="1072"/>
      <c r="AC46" s="1072"/>
      <c r="AD46" s="796">
        <f>AD44-AD45</f>
        <v>28803</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4803</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 xml:space="preserve">KAMALESH KUMAR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663114</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663114</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663114</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 xml:space="preserve">KAMALESH KUMAR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DLLPK8818M</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9772927694</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663114</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'Emp.-Detail'!O17</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0</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165071</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146805</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146985</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148215</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607076</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56038</v>
      </c>
      <c r="AA81" s="776"/>
      <c r="AB81" s="773">
        <f>SUM(Z67:Z81)</f>
        <v>92258</v>
      </c>
      <c r="AC81" s="1113"/>
      <c r="AD81" s="773">
        <f>AD26</f>
        <v>92258</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'Emp.-Detail'!N17</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'Emp.-Detail'!N17</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'Emp.-Detail'!N17</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'Emp.-Detail'!J17</f>
        <v>0</v>
      </c>
      <c r="C87" s="788"/>
      <c r="D87" s="776"/>
      <c r="E87" s="257"/>
      <c r="F87" s="1233" t="str">
        <f>'Emp.-Detail'!K17</f>
        <v>0</v>
      </c>
      <c r="G87" s="791"/>
      <c r="H87" s="791"/>
      <c r="I87" s="792"/>
      <c r="J87" s="810" t="str">
        <f>'Emp.-Detail'!L17</f>
        <v>00/00/0000</v>
      </c>
      <c r="K87" s="811"/>
      <c r="L87" s="811"/>
      <c r="M87" s="812"/>
      <c r="N87" s="1233" t="str">
        <f>'Emp.-Detail'!M17</f>
        <v>00</v>
      </c>
      <c r="O87" s="792"/>
      <c r="P87" s="793" t="str">
        <f>'Emp.-Detail'!N17</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92258</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514820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27964</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839</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28803</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28803</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663114</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663114</v>
      </c>
      <c r="P104" s="776"/>
      <c r="Q104" s="258">
        <f>O104</f>
        <v>663114</v>
      </c>
      <c r="R104" s="235"/>
      <c r="S104" s="254"/>
      <c r="T104" s="229" t="str">
        <f>'DDO '!L10</f>
        <v>PRINCIPAL</v>
      </c>
      <c r="U104" s="229"/>
      <c r="V104" s="780" t="s">
        <v>51</v>
      </c>
      <c r="W104" s="780"/>
      <c r="X104" s="780"/>
      <c r="Y104" s="780"/>
      <c r="Z104" s="770">
        <f>AD100</f>
        <v>28803</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TWENTY  EIGHT  Thousand  EIGHT  Hundred  THREE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663114</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663114</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663114</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5"/>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4.xml><?xml version="1.0" encoding="utf-8"?>
<worksheet xmlns="http://schemas.openxmlformats.org/spreadsheetml/2006/main" xmlns:r="http://schemas.openxmlformats.org/officeDocument/2006/relationships">
  <dimension ref="A1:AJ150"/>
  <sheetViews>
    <sheetView view="pageBreakPreview" topLeftCell="A13" zoomScaleSheetLayoutView="100" workbookViewId="0">
      <selection activeCell="L25" sqref="L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SITARAM DADHICH </v>
      </c>
      <c r="T3" s="538"/>
      <c r="U3" s="538"/>
      <c r="V3" s="538"/>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'Emp.-Detail'!B18</f>
        <v xml:space="preserve">SITARAM DADHICH </v>
      </c>
      <c r="E4" s="949"/>
      <c r="F4" s="949"/>
      <c r="G4" s="949"/>
      <c r="H4" s="949"/>
      <c r="I4" s="854"/>
      <c r="J4" s="1185">
        <f>'Emp.-Detail'!A18</f>
        <v>10</v>
      </c>
      <c r="K4" s="1186"/>
      <c r="L4" s="1187"/>
      <c r="M4" s="982" t="s">
        <v>8</v>
      </c>
      <c r="N4" s="833"/>
      <c r="O4" s="833"/>
      <c r="P4" s="949" t="str">
        <f>'Emp.-Detail'!C18</f>
        <v>Lecturer</v>
      </c>
      <c r="Q4" s="950"/>
      <c r="R4" s="50"/>
      <c r="S4" s="1250" t="str">
        <f>D5</f>
        <v>AFZPD5085N</v>
      </c>
      <c r="T4" s="538"/>
      <c r="U4" s="538"/>
      <c r="V4" s="538"/>
      <c r="W4" s="959" t="str">
        <f>'Emp.-Detail'!H18</f>
        <v>51104153451</v>
      </c>
      <c r="X4" s="949"/>
      <c r="Y4" s="949"/>
      <c r="Z4" s="949"/>
      <c r="AA4" s="949" t="str">
        <f>'Emp.-Detail'!I18</f>
        <v>SBBJ,Salasar</v>
      </c>
      <c r="AB4" s="949"/>
      <c r="AC4" s="949"/>
      <c r="AD4" s="949"/>
      <c r="AE4" s="949"/>
      <c r="AF4" s="950"/>
      <c r="AG4" s="17"/>
    </row>
    <row r="5" spans="1:33" ht="19.5" customHeight="1" thickBot="1">
      <c r="A5" s="954" t="s">
        <v>135</v>
      </c>
      <c r="B5" s="833"/>
      <c r="C5" s="833"/>
      <c r="D5" s="949" t="str">
        <f>'Emp.-Detail'!D18</f>
        <v>AFZPD5085N</v>
      </c>
      <c r="E5" s="949"/>
      <c r="F5" s="949"/>
      <c r="G5" s="949"/>
      <c r="H5" s="949"/>
      <c r="I5" s="854"/>
      <c r="J5" s="1188"/>
      <c r="K5" s="1189"/>
      <c r="L5" s="1190"/>
      <c r="M5" s="982" t="s">
        <v>137</v>
      </c>
      <c r="N5" s="833"/>
      <c r="O5" s="833"/>
      <c r="P5" s="959">
        <f>'Emp.-Detail'!G18</f>
        <v>9887415532</v>
      </c>
      <c r="Q5" s="950"/>
      <c r="R5" s="50"/>
      <c r="S5" s="974" t="s">
        <v>203</v>
      </c>
      <c r="T5" s="975"/>
      <c r="U5" s="975"/>
      <c r="V5" s="975"/>
      <c r="W5" s="951">
        <f>SUM(Q9:Q20)</f>
        <v>567598</v>
      </c>
      <c r="X5" s="951"/>
      <c r="Y5" s="1248" t="s">
        <v>202</v>
      </c>
      <c r="Z5" s="1249"/>
      <c r="AA5" s="1088"/>
      <c r="AB5" s="951">
        <f>P46</f>
        <v>54397</v>
      </c>
      <c r="AC5" s="949"/>
      <c r="AD5" s="941">
        <f>W5+AB5</f>
        <v>621995</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621995</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621995</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621995</v>
      </c>
      <c r="AE8" s="942"/>
      <c r="AF8" s="943"/>
      <c r="AG8" s="17"/>
    </row>
    <row r="9" spans="1:33" ht="19.5" customHeight="1">
      <c r="A9" s="285">
        <v>1</v>
      </c>
      <c r="B9" s="286">
        <v>42430</v>
      </c>
      <c r="C9" s="190">
        <f>'Emp.-Detail'!E18</f>
        <v>19320</v>
      </c>
      <c r="D9" s="190">
        <f>ROUND(C9*119%,0)</f>
        <v>22991</v>
      </c>
      <c r="E9" s="191">
        <f>ROUND((C9+D9)*10%,0)</f>
        <v>4231</v>
      </c>
      <c r="F9" s="190">
        <f>ROUND(C9*10%,0)</f>
        <v>1932</v>
      </c>
      <c r="G9" s="190">
        <v>0</v>
      </c>
      <c r="H9" s="190">
        <v>0</v>
      </c>
      <c r="I9" s="192">
        <f>ROUND(C9*6%,0)*3</f>
        <v>3477</v>
      </c>
      <c r="J9" s="190">
        <v>0</v>
      </c>
      <c r="K9" s="190">
        <f>ROUND((I9+J9)*10%,0)</f>
        <v>348</v>
      </c>
      <c r="L9" s="190">
        <v>0</v>
      </c>
      <c r="M9" s="190">
        <v>0</v>
      </c>
      <c r="N9" s="190">
        <v>0</v>
      </c>
      <c r="O9" s="190">
        <v>0</v>
      </c>
      <c r="P9" s="193">
        <v>0</v>
      </c>
      <c r="Q9" s="290">
        <f>C9+D9+F9+G9+H9+I9+J9+L9+M9+N9+O9</f>
        <v>47720</v>
      </c>
      <c r="R9" s="282"/>
      <c r="S9" s="984" t="s">
        <v>144</v>
      </c>
      <c r="T9" s="985"/>
      <c r="U9" s="985"/>
      <c r="V9" s="985"/>
      <c r="W9" s="985"/>
      <c r="X9" s="985"/>
      <c r="Y9" s="985"/>
      <c r="Z9" s="971" t="s">
        <v>18</v>
      </c>
      <c r="AA9" s="971"/>
      <c r="AB9" s="967">
        <f>O49</f>
        <v>0</v>
      </c>
      <c r="AC9" s="968"/>
      <c r="AD9" s="977">
        <f>AD8+AB9</f>
        <v>621995</v>
      </c>
      <c r="AE9" s="978"/>
      <c r="AF9" s="979"/>
      <c r="AG9" s="17"/>
    </row>
    <row r="10" spans="1:33" ht="19.5" customHeight="1">
      <c r="A10" s="187">
        <v>2</v>
      </c>
      <c r="B10" s="286">
        <v>42461</v>
      </c>
      <c r="C10" s="192">
        <f>C9</f>
        <v>19320</v>
      </c>
      <c r="D10" s="190">
        <f>ROUND(C10*125%,0)</f>
        <v>24150</v>
      </c>
      <c r="E10" s="191">
        <f t="shared" ref="E10:E20" si="0">ROUND((C10+D10)*10%,0)</f>
        <v>4347</v>
      </c>
      <c r="F10" s="190">
        <f t="shared" ref="F10:F20" si="1">ROUND(C10*10%,0)</f>
        <v>1932</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45402</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19320</v>
      </c>
      <c r="D11" s="190">
        <f t="shared" ref="D11:D15" si="4">ROUND(C11*125%,0)</f>
        <v>24150</v>
      </c>
      <c r="E11" s="191">
        <f t="shared" si="0"/>
        <v>4347</v>
      </c>
      <c r="F11" s="190">
        <f t="shared" si="1"/>
        <v>1932</v>
      </c>
      <c r="G11" s="192">
        <f t="shared" ref="G11:H20" si="5">G10</f>
        <v>0</v>
      </c>
      <c r="H11" s="192">
        <f t="shared" si="5"/>
        <v>0</v>
      </c>
      <c r="I11" s="192">
        <v>0</v>
      </c>
      <c r="J11" s="190">
        <v>0</v>
      </c>
      <c r="K11" s="190">
        <f t="shared" si="2"/>
        <v>0</v>
      </c>
      <c r="L11" s="190">
        <v>0</v>
      </c>
      <c r="M11" s="190">
        <v>0</v>
      </c>
      <c r="N11" s="190">
        <v>0</v>
      </c>
      <c r="O11" s="190">
        <v>0</v>
      </c>
      <c r="P11" s="193">
        <v>0</v>
      </c>
      <c r="Q11" s="290">
        <f t="shared" si="3"/>
        <v>45402</v>
      </c>
      <c r="R11" s="50"/>
      <c r="S11" s="292" t="s">
        <v>146</v>
      </c>
      <c r="T11" s="958">
        <f>O50</f>
        <v>0</v>
      </c>
      <c r="U11" s="948"/>
      <c r="V11" s="980">
        <f>O51</f>
        <v>0</v>
      </c>
      <c r="W11" s="958"/>
      <c r="X11" s="948"/>
      <c r="Y11" s="980">
        <f>Q49</f>
        <v>0</v>
      </c>
      <c r="Z11" s="958"/>
      <c r="AA11" s="948"/>
      <c r="AB11" s="980">
        <f>T11+V11+Y11</f>
        <v>0</v>
      </c>
      <c r="AC11" s="948"/>
      <c r="AD11" s="941">
        <f>AD9-AB11</f>
        <v>621995</v>
      </c>
      <c r="AE11" s="942"/>
      <c r="AF11" s="943"/>
      <c r="AG11" s="17"/>
    </row>
    <row r="12" spans="1:33" ht="19.5" customHeight="1">
      <c r="A12" s="187">
        <v>4</v>
      </c>
      <c r="B12" s="286">
        <v>42522</v>
      </c>
      <c r="C12" s="192">
        <f>C11</f>
        <v>19320</v>
      </c>
      <c r="D12" s="190">
        <f t="shared" si="4"/>
        <v>24150</v>
      </c>
      <c r="E12" s="191">
        <f t="shared" si="0"/>
        <v>4347</v>
      </c>
      <c r="F12" s="190">
        <f t="shared" si="1"/>
        <v>1932</v>
      </c>
      <c r="G12" s="192">
        <f t="shared" si="5"/>
        <v>0</v>
      </c>
      <c r="H12" s="192">
        <f t="shared" si="5"/>
        <v>0</v>
      </c>
      <c r="I12" s="192">
        <v>0</v>
      </c>
      <c r="J12" s="190">
        <v>0</v>
      </c>
      <c r="K12" s="190">
        <f t="shared" si="2"/>
        <v>0</v>
      </c>
      <c r="L12" s="190">
        <v>0</v>
      </c>
      <c r="M12" s="190">
        <v>0</v>
      </c>
      <c r="N12" s="190">
        <v>0</v>
      </c>
      <c r="O12" s="190">
        <v>0</v>
      </c>
      <c r="P12" s="193">
        <v>0</v>
      </c>
      <c r="Q12" s="290">
        <f t="shared" si="3"/>
        <v>45402</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19900</v>
      </c>
      <c r="D13" s="190">
        <f t="shared" si="4"/>
        <v>24875</v>
      </c>
      <c r="E13" s="191">
        <f t="shared" si="0"/>
        <v>4478</v>
      </c>
      <c r="F13" s="190">
        <f t="shared" si="1"/>
        <v>1990</v>
      </c>
      <c r="G13" s="192">
        <f t="shared" si="5"/>
        <v>0</v>
      </c>
      <c r="H13" s="192">
        <f t="shared" si="5"/>
        <v>0</v>
      </c>
      <c r="I13" s="192">
        <v>0</v>
      </c>
      <c r="J13" s="190">
        <v>0</v>
      </c>
      <c r="K13" s="190">
        <f t="shared" si="2"/>
        <v>0</v>
      </c>
      <c r="L13" s="190">
        <v>0</v>
      </c>
      <c r="M13" s="190">
        <v>0</v>
      </c>
      <c r="N13" s="190">
        <v>0</v>
      </c>
      <c r="O13" s="190">
        <v>0</v>
      </c>
      <c r="P13" s="193">
        <v>0</v>
      </c>
      <c r="Q13" s="290">
        <f t="shared" si="3"/>
        <v>46765</v>
      </c>
      <c r="R13" s="70"/>
      <c r="S13" s="991">
        <f>O52</f>
        <v>0</v>
      </c>
      <c r="T13" s="948"/>
      <c r="U13" s="980">
        <f>O53</f>
        <v>0</v>
      </c>
      <c r="V13" s="948"/>
      <c r="W13" s="980">
        <f>O54</f>
        <v>0</v>
      </c>
      <c r="X13" s="948"/>
      <c r="Y13" s="980">
        <f>O55</f>
        <v>0</v>
      </c>
      <c r="Z13" s="958"/>
      <c r="AA13" s="958"/>
      <c r="AB13" s="951">
        <f>SUM(S13:AA13)</f>
        <v>0</v>
      </c>
      <c r="AC13" s="951"/>
      <c r="AD13" s="941">
        <f>AD11+AB13</f>
        <v>621995</v>
      </c>
      <c r="AE13" s="965"/>
      <c r="AF13" s="966"/>
      <c r="AG13" s="17"/>
    </row>
    <row r="14" spans="1:33" ht="19.5" customHeight="1">
      <c r="A14" s="187">
        <v>6</v>
      </c>
      <c r="B14" s="286">
        <v>42583</v>
      </c>
      <c r="C14" s="192">
        <f t="shared" ref="C14:C20" si="6">C13</f>
        <v>19900</v>
      </c>
      <c r="D14" s="190">
        <f>ROUND(C14*125%,0)</f>
        <v>24875</v>
      </c>
      <c r="E14" s="191">
        <f t="shared" si="0"/>
        <v>4478</v>
      </c>
      <c r="F14" s="190">
        <f t="shared" si="1"/>
        <v>1990</v>
      </c>
      <c r="G14" s="192">
        <f t="shared" si="5"/>
        <v>0</v>
      </c>
      <c r="H14" s="192">
        <f t="shared" si="5"/>
        <v>0</v>
      </c>
      <c r="I14" s="192">
        <v>0</v>
      </c>
      <c r="J14" s="192">
        <f>ROUND(C13*6%,0)*3</f>
        <v>3582</v>
      </c>
      <c r="K14" s="190">
        <f t="shared" si="2"/>
        <v>358</v>
      </c>
      <c r="L14" s="190">
        <v>0</v>
      </c>
      <c r="M14" s="190">
        <v>0</v>
      </c>
      <c r="N14" s="190">
        <v>0</v>
      </c>
      <c r="O14" s="190">
        <v>0</v>
      </c>
      <c r="P14" s="193">
        <v>0</v>
      </c>
      <c r="Q14" s="290">
        <f t="shared" si="3"/>
        <v>50347</v>
      </c>
      <c r="R14" s="50"/>
      <c r="S14" s="954" t="s">
        <v>19</v>
      </c>
      <c r="T14" s="833"/>
      <c r="U14" s="833"/>
      <c r="V14" s="833"/>
      <c r="W14" s="833"/>
      <c r="X14" s="833"/>
      <c r="Y14" s="833"/>
      <c r="Z14" s="833"/>
      <c r="AA14" s="951">
        <f>I55</f>
        <v>0</v>
      </c>
      <c r="AB14" s="951"/>
      <c r="AC14" s="951"/>
      <c r="AD14" s="941">
        <f>AD13+AA14</f>
        <v>621995</v>
      </c>
      <c r="AE14" s="942"/>
      <c r="AF14" s="943"/>
      <c r="AG14" s="17"/>
    </row>
    <row r="15" spans="1:33" ht="19.5" customHeight="1">
      <c r="A15" s="187">
        <v>7</v>
      </c>
      <c r="B15" s="286">
        <v>42614</v>
      </c>
      <c r="C15" s="192">
        <f t="shared" si="6"/>
        <v>19900</v>
      </c>
      <c r="D15" s="190">
        <f t="shared" si="4"/>
        <v>24875</v>
      </c>
      <c r="E15" s="191">
        <f t="shared" si="0"/>
        <v>4478</v>
      </c>
      <c r="F15" s="190">
        <f t="shared" si="1"/>
        <v>1990</v>
      </c>
      <c r="G15" s="192">
        <f t="shared" si="5"/>
        <v>0</v>
      </c>
      <c r="H15" s="192">
        <f t="shared" si="5"/>
        <v>0</v>
      </c>
      <c r="I15" s="192">
        <v>0</v>
      </c>
      <c r="J15" s="192">
        <v>0</v>
      </c>
      <c r="K15" s="190">
        <f t="shared" si="2"/>
        <v>0</v>
      </c>
      <c r="L15" s="190">
        <v>0</v>
      </c>
      <c r="M15" s="190">
        <v>0</v>
      </c>
      <c r="N15" s="190">
        <v>0</v>
      </c>
      <c r="O15" s="190">
        <v>0</v>
      </c>
      <c r="P15" s="193">
        <v>0</v>
      </c>
      <c r="Q15" s="290">
        <f t="shared" si="3"/>
        <v>46765</v>
      </c>
      <c r="R15" s="50"/>
      <c r="S15" s="992" t="s">
        <v>20</v>
      </c>
      <c r="T15" s="993"/>
      <c r="U15" s="993"/>
      <c r="V15" s="993"/>
      <c r="W15" s="993"/>
      <c r="X15" s="993"/>
      <c r="Y15" s="993"/>
      <c r="Z15" s="993"/>
      <c r="AA15" s="993"/>
      <c r="AB15" s="993"/>
      <c r="AC15" s="993"/>
      <c r="AD15" s="941">
        <f>AD14</f>
        <v>621995</v>
      </c>
      <c r="AE15" s="942"/>
      <c r="AF15" s="943"/>
      <c r="AG15" s="17"/>
    </row>
    <row r="16" spans="1:33" ht="19.5" customHeight="1">
      <c r="A16" s="187">
        <v>8</v>
      </c>
      <c r="B16" s="286">
        <v>42644</v>
      </c>
      <c r="C16" s="192">
        <f t="shared" si="6"/>
        <v>19900</v>
      </c>
      <c r="D16" s="190">
        <f>ROUND(C16*131%,0)</f>
        <v>26069</v>
      </c>
      <c r="E16" s="191">
        <f t="shared" si="0"/>
        <v>4597</v>
      </c>
      <c r="F16" s="190">
        <f t="shared" si="1"/>
        <v>1990</v>
      </c>
      <c r="G16" s="192">
        <f t="shared" si="5"/>
        <v>0</v>
      </c>
      <c r="H16" s="192">
        <f t="shared" si="5"/>
        <v>0</v>
      </c>
      <c r="I16" s="192">
        <v>0</v>
      </c>
      <c r="J16" s="192">
        <v>0</v>
      </c>
      <c r="K16" s="190">
        <f t="shared" si="2"/>
        <v>0</v>
      </c>
      <c r="L16" s="190">
        <v>0</v>
      </c>
      <c r="M16" s="190">
        <v>0</v>
      </c>
      <c r="N16" s="190">
        <v>0</v>
      </c>
      <c r="O16" s="190">
        <v>0</v>
      </c>
      <c r="P16" s="193">
        <v>0</v>
      </c>
      <c r="Q16" s="290">
        <f t="shared" si="3"/>
        <v>47959</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19900</v>
      </c>
      <c r="D17" s="190">
        <f>ROUND(C17*131%,0)</f>
        <v>26069</v>
      </c>
      <c r="E17" s="191">
        <f t="shared" si="0"/>
        <v>4597</v>
      </c>
      <c r="F17" s="190">
        <f t="shared" si="1"/>
        <v>1990</v>
      </c>
      <c r="G17" s="192">
        <f t="shared" si="5"/>
        <v>0</v>
      </c>
      <c r="H17" s="192">
        <f t="shared" si="5"/>
        <v>0</v>
      </c>
      <c r="I17" s="192">
        <v>0</v>
      </c>
      <c r="J17" s="192">
        <v>0</v>
      </c>
      <c r="K17" s="190">
        <f t="shared" si="2"/>
        <v>0</v>
      </c>
      <c r="L17" s="190">
        <v>0</v>
      </c>
      <c r="M17" s="190">
        <v>0</v>
      </c>
      <c r="N17" s="190">
        <v>0</v>
      </c>
      <c r="O17" s="190">
        <v>0</v>
      </c>
      <c r="P17" s="193">
        <v>0</v>
      </c>
      <c r="Q17" s="290">
        <f t="shared" si="3"/>
        <v>47959</v>
      </c>
      <c r="R17" s="50"/>
      <c r="S17" s="954" t="s">
        <v>157</v>
      </c>
      <c r="T17" s="833"/>
      <c r="U17" s="833"/>
      <c r="V17" s="951">
        <f>IF('Emp.-Detail'!F18="NO",F37,0)</f>
        <v>0</v>
      </c>
      <c r="W17" s="951"/>
      <c r="X17" s="833" t="s">
        <v>167</v>
      </c>
      <c r="Y17" s="833"/>
      <c r="Z17" s="833"/>
      <c r="AA17" s="833"/>
      <c r="AB17" s="833"/>
      <c r="AC17" s="833"/>
      <c r="AD17" s="831">
        <f>F45</f>
        <v>0</v>
      </c>
      <c r="AE17" s="831"/>
      <c r="AF17" s="955"/>
      <c r="AG17" s="17"/>
    </row>
    <row r="18" spans="1:34" ht="19.5" customHeight="1">
      <c r="A18" s="187">
        <v>10</v>
      </c>
      <c r="B18" s="286">
        <v>42705</v>
      </c>
      <c r="C18" s="192">
        <f t="shared" si="6"/>
        <v>19900</v>
      </c>
      <c r="D18" s="190">
        <f>ROUND(C18*131%,0)</f>
        <v>26069</v>
      </c>
      <c r="E18" s="191">
        <f t="shared" si="0"/>
        <v>4597</v>
      </c>
      <c r="F18" s="190">
        <f t="shared" si="1"/>
        <v>1990</v>
      </c>
      <c r="G18" s="192">
        <f t="shared" si="5"/>
        <v>0</v>
      </c>
      <c r="H18" s="192">
        <f t="shared" si="5"/>
        <v>0</v>
      </c>
      <c r="I18" s="192">
        <v>0</v>
      </c>
      <c r="J18" s="192">
        <v>0</v>
      </c>
      <c r="K18" s="190">
        <f t="shared" si="2"/>
        <v>0</v>
      </c>
      <c r="L18" s="190">
        <v>0</v>
      </c>
      <c r="M18" s="190">
        <v>0</v>
      </c>
      <c r="N18" s="190">
        <v>0</v>
      </c>
      <c r="O18" s="190">
        <v>0</v>
      </c>
      <c r="P18" s="193">
        <v>0</v>
      </c>
      <c r="Q18" s="290">
        <f t="shared" si="3"/>
        <v>47959</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19900</v>
      </c>
      <c r="D19" s="190">
        <f>ROUND(C19*131%,0)</f>
        <v>26069</v>
      </c>
      <c r="E19" s="191">
        <f t="shared" si="0"/>
        <v>4597</v>
      </c>
      <c r="F19" s="190">
        <f t="shared" si="1"/>
        <v>1990</v>
      </c>
      <c r="G19" s="192">
        <f t="shared" si="5"/>
        <v>0</v>
      </c>
      <c r="H19" s="192">
        <f t="shared" si="5"/>
        <v>0</v>
      </c>
      <c r="I19" s="192">
        <v>0</v>
      </c>
      <c r="J19" s="192">
        <v>0</v>
      </c>
      <c r="K19" s="190">
        <f t="shared" si="2"/>
        <v>0</v>
      </c>
      <c r="L19" s="190">
        <v>0</v>
      </c>
      <c r="M19" s="190">
        <v>0</v>
      </c>
      <c r="N19" s="190">
        <v>0</v>
      </c>
      <c r="O19" s="190">
        <v>0</v>
      </c>
      <c r="P19" s="193">
        <v>0</v>
      </c>
      <c r="Q19" s="290">
        <f t="shared" si="3"/>
        <v>47959</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19900</v>
      </c>
      <c r="D20" s="190">
        <f>ROUND(C20*131%,0)</f>
        <v>26069</v>
      </c>
      <c r="E20" s="191">
        <f t="shared" si="0"/>
        <v>4597</v>
      </c>
      <c r="F20" s="190">
        <f t="shared" si="1"/>
        <v>1990</v>
      </c>
      <c r="G20" s="192">
        <f t="shared" si="5"/>
        <v>0</v>
      </c>
      <c r="H20" s="192">
        <f t="shared" si="5"/>
        <v>0</v>
      </c>
      <c r="I20" s="192">
        <v>0</v>
      </c>
      <c r="J20" s="192">
        <v>0</v>
      </c>
      <c r="K20" s="190">
        <f t="shared" si="2"/>
        <v>0</v>
      </c>
      <c r="L20" s="190">
        <v>0</v>
      </c>
      <c r="M20" s="190">
        <v>0</v>
      </c>
      <c r="N20" s="190">
        <v>0</v>
      </c>
      <c r="O20" s="190">
        <v>0</v>
      </c>
      <c r="P20" s="193">
        <v>0</v>
      </c>
      <c r="Q20" s="290">
        <f t="shared" si="3"/>
        <v>47959</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236480</v>
      </c>
      <c r="D21" s="287">
        <f>SUM(D9:D20)</f>
        <v>300411</v>
      </c>
      <c r="E21" s="288">
        <f>SUM(E9:E20)</f>
        <v>53691</v>
      </c>
      <c r="F21" s="287">
        <f>SUM(F9:F20)</f>
        <v>23648</v>
      </c>
      <c r="G21" s="287">
        <f t="shared" si="7"/>
        <v>0</v>
      </c>
      <c r="H21" s="287">
        <f>SUM(H9:H20)</f>
        <v>0</v>
      </c>
      <c r="I21" s="287">
        <f t="shared" si="7"/>
        <v>3477</v>
      </c>
      <c r="J21" s="287">
        <f t="shared" si="7"/>
        <v>3582</v>
      </c>
      <c r="K21" s="287">
        <f>SUM(K9:K20)</f>
        <v>706</v>
      </c>
      <c r="L21" s="287">
        <f t="shared" si="7"/>
        <v>0</v>
      </c>
      <c r="M21" s="287">
        <f t="shared" si="7"/>
        <v>0</v>
      </c>
      <c r="N21" s="287">
        <f t="shared" si="7"/>
        <v>0</v>
      </c>
      <c r="O21" s="287">
        <f>SUM(O9:O20)</f>
        <v>0</v>
      </c>
      <c r="P21" s="289">
        <f>SUM(P9:P20)</f>
        <v>0</v>
      </c>
      <c r="Q21" s="84">
        <f>SUM(Q9:Q20)</f>
        <v>567598</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IF('Emp.-Detail'!F18="yes",E9)+IF('Emp.-Detail'!F18="NO",0)</f>
        <v>4231</v>
      </c>
      <c r="D25" s="192">
        <f>IF('Emp.-Detail'!F18="YES",K9)+IF('Emp.-Detail'!F18="NO",I9,0)</f>
        <v>348</v>
      </c>
      <c r="E25" s="195"/>
      <c r="F25" s="287">
        <f>SUM(C25:D25)</f>
        <v>4579</v>
      </c>
      <c r="G25" s="192">
        <v>0</v>
      </c>
      <c r="H25" s="194">
        <v>0</v>
      </c>
      <c r="I25" s="192">
        <v>3000</v>
      </c>
      <c r="J25" s="195">
        <v>0</v>
      </c>
      <c r="K25" s="195"/>
      <c r="L25" s="195">
        <v>0</v>
      </c>
      <c r="M25" s="196">
        <v>0</v>
      </c>
      <c r="N25" s="196">
        <v>0</v>
      </c>
      <c r="O25" s="196">
        <v>1500</v>
      </c>
      <c r="P25" s="192">
        <v>0</v>
      </c>
      <c r="Q25" s="297">
        <f>SUM(F25:P25)</f>
        <v>9079</v>
      </c>
      <c r="R25" s="50"/>
      <c r="S25" s="1084" t="s">
        <v>166</v>
      </c>
      <c r="T25" s="981"/>
      <c r="U25" s="982"/>
      <c r="V25" s="951">
        <f>F44</f>
        <v>0</v>
      </c>
      <c r="W25" s="951"/>
      <c r="X25" s="956" t="s">
        <v>175</v>
      </c>
      <c r="Y25" s="956"/>
      <c r="Z25" s="956"/>
      <c r="AA25" s="956"/>
      <c r="AB25" s="956"/>
      <c r="AC25" s="956"/>
      <c r="AD25" s="831">
        <f>P46</f>
        <v>54397</v>
      </c>
      <c r="AE25" s="831"/>
      <c r="AF25" s="955"/>
      <c r="AG25" s="17"/>
      <c r="AH25" s="2"/>
    </row>
    <row r="26" spans="1:34" ht="19.5" customHeight="1">
      <c r="A26" s="187">
        <v>2</v>
      </c>
      <c r="B26" s="296">
        <f t="shared" ref="B26:B36" si="8">B10</f>
        <v>42461</v>
      </c>
      <c r="C26" s="192">
        <f>IF('Emp.-Detail'!F18="yes",E10)+IF('Emp.-Detail'!F18="NO",0)</f>
        <v>4347</v>
      </c>
      <c r="D26" s="192">
        <f>IF('Emp.-Detail'!F18="YES",K10)+IF('Emp.-Detail'!F18="NO",I10,0)</f>
        <v>0</v>
      </c>
      <c r="E26" s="195"/>
      <c r="F26" s="287">
        <f t="shared" ref="F26:F37" si="9">SUM(C26:D26)</f>
        <v>4347</v>
      </c>
      <c r="G26" s="192">
        <f t="shared" ref="G26:O36" si="10">G25</f>
        <v>0</v>
      </c>
      <c r="H26" s="194">
        <f>H25</f>
        <v>0</v>
      </c>
      <c r="I26" s="192">
        <f t="shared" si="10"/>
        <v>3000</v>
      </c>
      <c r="J26" s="195">
        <f t="shared" si="10"/>
        <v>0</v>
      </c>
      <c r="K26" s="195"/>
      <c r="L26" s="195">
        <f t="shared" si="10"/>
        <v>0</v>
      </c>
      <c r="M26" s="196">
        <f t="shared" si="10"/>
        <v>0</v>
      </c>
      <c r="N26" s="196">
        <f t="shared" si="10"/>
        <v>0</v>
      </c>
      <c r="O26" s="196">
        <f t="shared" si="10"/>
        <v>1500</v>
      </c>
      <c r="P26" s="194">
        <f>'Emp.-Detail'!AB9+'Emp.-Detail'!AB9*14.5%</f>
        <v>251.9</v>
      </c>
      <c r="Q26" s="297">
        <f t="shared" ref="Q26:Q36" si="11">SUM(F26:P26)</f>
        <v>9098.9</v>
      </c>
      <c r="R26" s="50"/>
      <c r="S26" s="1089" t="s">
        <v>279</v>
      </c>
      <c r="T26" s="1090"/>
      <c r="U26" s="1090"/>
      <c r="V26" s="1090"/>
      <c r="W26" s="1090"/>
      <c r="X26" s="1090"/>
      <c r="Y26" s="1090"/>
      <c r="Z26" s="1090"/>
      <c r="AA26" s="1091"/>
      <c r="AB26" s="942">
        <f>SUM(V17:V25)+SUM(AD17:AD25)</f>
        <v>90617</v>
      </c>
      <c r="AC26" s="957"/>
      <c r="AD26" s="1135">
        <f>IF(AB26&lt;=150000,AB26,150000)+AD25</f>
        <v>145014</v>
      </c>
      <c r="AE26" s="1136"/>
      <c r="AF26" s="1137"/>
      <c r="AG26" s="17"/>
    </row>
    <row r="27" spans="1:34" ht="19.5" customHeight="1">
      <c r="A27" s="187">
        <v>3</v>
      </c>
      <c r="B27" s="296">
        <f t="shared" si="8"/>
        <v>42491</v>
      </c>
      <c r="C27" s="192">
        <f>IF('Emp.-Detail'!F18="yes",E11)+IF('Emp.-Detail'!F18="NO",0)</f>
        <v>4347</v>
      </c>
      <c r="D27" s="192">
        <f>IF('Emp.-Detail'!F18="YES",K11)+IF('Emp.-Detail'!F18="NO",I11,0)</f>
        <v>0</v>
      </c>
      <c r="E27" s="195"/>
      <c r="F27" s="287">
        <f t="shared" si="9"/>
        <v>4347</v>
      </c>
      <c r="G27" s="192">
        <f t="shared" si="10"/>
        <v>0</v>
      </c>
      <c r="H27" s="194">
        <f t="shared" si="10"/>
        <v>0</v>
      </c>
      <c r="I27" s="192">
        <f t="shared" si="10"/>
        <v>3000</v>
      </c>
      <c r="J27" s="195">
        <f t="shared" si="10"/>
        <v>0</v>
      </c>
      <c r="K27" s="195"/>
      <c r="L27" s="195">
        <f t="shared" si="10"/>
        <v>0</v>
      </c>
      <c r="M27" s="196">
        <f t="shared" si="10"/>
        <v>0</v>
      </c>
      <c r="N27" s="196">
        <f t="shared" si="10"/>
        <v>0</v>
      </c>
      <c r="O27" s="196">
        <f t="shared" si="10"/>
        <v>1500</v>
      </c>
      <c r="P27" s="192">
        <v>0</v>
      </c>
      <c r="Q27" s="297">
        <f t="shared" si="11"/>
        <v>8847</v>
      </c>
      <c r="R27" s="50"/>
      <c r="S27" s="1085" t="s">
        <v>592</v>
      </c>
      <c r="T27" s="1086"/>
      <c r="U27" s="1086"/>
      <c r="V27" s="1086"/>
      <c r="W27" s="1086"/>
      <c r="X27" s="1086"/>
      <c r="Y27" s="1086"/>
      <c r="Z27" s="1086"/>
      <c r="AA27" s="1086"/>
      <c r="AB27" s="1087">
        <f>AB5</f>
        <v>54397</v>
      </c>
      <c r="AC27" s="1088"/>
      <c r="AD27" s="831">
        <f>AD15-(AD26+AB5)</f>
        <v>422584</v>
      </c>
      <c r="AE27" s="831"/>
      <c r="AF27" s="955"/>
      <c r="AG27" s="17"/>
    </row>
    <row r="28" spans="1:34" ht="19.5" customHeight="1">
      <c r="A28" s="187">
        <v>4</v>
      </c>
      <c r="B28" s="296">
        <f t="shared" si="8"/>
        <v>42522</v>
      </c>
      <c r="C28" s="192">
        <f>IF('Emp.-Detail'!F18="yes",E12)+IF('Emp.-Detail'!F18="NO",0)</f>
        <v>4347</v>
      </c>
      <c r="D28" s="192">
        <f>IF('Emp.-Detail'!F18="YES",K12)+IF('Emp.-Detail'!F18="NO",I12,0)</f>
        <v>0</v>
      </c>
      <c r="E28" s="195"/>
      <c r="F28" s="287">
        <f t="shared" si="9"/>
        <v>4347</v>
      </c>
      <c r="G28" s="192">
        <f t="shared" si="10"/>
        <v>0</v>
      </c>
      <c r="H28" s="194">
        <f t="shared" si="10"/>
        <v>0</v>
      </c>
      <c r="I28" s="192">
        <f t="shared" si="10"/>
        <v>3000</v>
      </c>
      <c r="J28" s="195">
        <f t="shared" si="10"/>
        <v>0</v>
      </c>
      <c r="K28" s="195"/>
      <c r="L28" s="195">
        <f t="shared" si="10"/>
        <v>0</v>
      </c>
      <c r="M28" s="196">
        <f t="shared" si="10"/>
        <v>0</v>
      </c>
      <c r="N28" s="196">
        <f t="shared" si="10"/>
        <v>0</v>
      </c>
      <c r="O28" s="196">
        <f t="shared" si="10"/>
        <v>1500</v>
      </c>
      <c r="P28" s="192">
        <v>0</v>
      </c>
      <c r="Q28" s="297">
        <f t="shared" si="11"/>
        <v>8847</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IF('Emp.-Detail'!F18="yes",E13)+IF('Emp.-Detail'!F18="NO",0)</f>
        <v>4478</v>
      </c>
      <c r="D29" s="192">
        <f>IF('Emp.-Detail'!F18="YES",K13)+IF('Emp.-Detail'!F18="NO",I13,0)</f>
        <v>0</v>
      </c>
      <c r="E29" s="195"/>
      <c r="F29" s="287">
        <f t="shared" si="9"/>
        <v>4478</v>
      </c>
      <c r="G29" s="192">
        <f t="shared" si="10"/>
        <v>0</v>
      </c>
      <c r="H29" s="194">
        <f t="shared" si="10"/>
        <v>0</v>
      </c>
      <c r="I29" s="192">
        <f t="shared" si="10"/>
        <v>3000</v>
      </c>
      <c r="J29" s="195">
        <f t="shared" si="10"/>
        <v>0</v>
      </c>
      <c r="K29" s="195"/>
      <c r="L29" s="195">
        <f t="shared" si="10"/>
        <v>0</v>
      </c>
      <c r="M29" s="196">
        <f t="shared" si="10"/>
        <v>0</v>
      </c>
      <c r="N29" s="196">
        <f t="shared" si="10"/>
        <v>0</v>
      </c>
      <c r="O29" s="196">
        <f t="shared" si="10"/>
        <v>1500</v>
      </c>
      <c r="P29" s="192">
        <v>0</v>
      </c>
      <c r="Q29" s="297">
        <f t="shared" si="11"/>
        <v>8978</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IF('Emp.-Detail'!F18="yes",E14)+IF('Emp.-Detail'!F18="NO",0)</f>
        <v>4478</v>
      </c>
      <c r="D30" s="192">
        <f>IF('Emp.-Detail'!F18="YES",K14)+IF('Emp.-Detail'!F18="NO",J14,0)</f>
        <v>358</v>
      </c>
      <c r="E30" s="195"/>
      <c r="F30" s="287">
        <f t="shared" si="9"/>
        <v>4836</v>
      </c>
      <c r="G30" s="192">
        <f t="shared" si="10"/>
        <v>0</v>
      </c>
      <c r="H30" s="194">
        <f t="shared" si="10"/>
        <v>0</v>
      </c>
      <c r="I30" s="192">
        <f t="shared" si="10"/>
        <v>3000</v>
      </c>
      <c r="J30" s="195">
        <f t="shared" si="10"/>
        <v>0</v>
      </c>
      <c r="K30" s="195"/>
      <c r="L30" s="195">
        <f t="shared" si="10"/>
        <v>0</v>
      </c>
      <c r="M30" s="196">
        <f t="shared" si="10"/>
        <v>0</v>
      </c>
      <c r="N30" s="196">
        <f t="shared" si="10"/>
        <v>0</v>
      </c>
      <c r="O30" s="196">
        <f t="shared" si="10"/>
        <v>1500</v>
      </c>
      <c r="P30" s="192">
        <v>0</v>
      </c>
      <c r="Q30" s="297">
        <f t="shared" si="11"/>
        <v>9336</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IF('Emp.-Detail'!F18="yes",E15)+IF('Emp.-Detail'!F18="NO",0)</f>
        <v>4478</v>
      </c>
      <c r="D31" s="192">
        <f>IF('Emp.-Detail'!F18="YES",K15)+IF('Emp.-Detail'!F18="NO",J15,0)</f>
        <v>0</v>
      </c>
      <c r="E31" s="195"/>
      <c r="F31" s="287">
        <f t="shared" si="9"/>
        <v>4478</v>
      </c>
      <c r="G31" s="192">
        <f t="shared" si="10"/>
        <v>0</v>
      </c>
      <c r="H31" s="194">
        <f t="shared" si="10"/>
        <v>0</v>
      </c>
      <c r="I31" s="192">
        <f t="shared" si="10"/>
        <v>3000</v>
      </c>
      <c r="J31" s="195">
        <f t="shared" si="10"/>
        <v>0</v>
      </c>
      <c r="K31" s="195"/>
      <c r="L31" s="195">
        <f t="shared" si="10"/>
        <v>0</v>
      </c>
      <c r="M31" s="196">
        <f t="shared" si="10"/>
        <v>0</v>
      </c>
      <c r="N31" s="196">
        <f t="shared" si="10"/>
        <v>0</v>
      </c>
      <c r="O31" s="196">
        <f t="shared" si="10"/>
        <v>1500</v>
      </c>
      <c r="P31" s="192">
        <v>0</v>
      </c>
      <c r="Q31" s="297">
        <f t="shared" si="11"/>
        <v>8978</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IF('Emp.-Detail'!F18="yes",E16)+IF('Emp.-Detail'!F18="NO",0)</f>
        <v>4597</v>
      </c>
      <c r="D32" s="192">
        <f>IF('Emp.-Detail'!F18="YES",K16)+IF('Emp.-Detail'!F18="NO",J16,0)</f>
        <v>0</v>
      </c>
      <c r="E32" s="195"/>
      <c r="F32" s="287">
        <f t="shared" si="9"/>
        <v>4597</v>
      </c>
      <c r="G32" s="192">
        <f t="shared" si="10"/>
        <v>0</v>
      </c>
      <c r="H32" s="194">
        <f t="shared" si="10"/>
        <v>0</v>
      </c>
      <c r="I32" s="192">
        <f t="shared" si="10"/>
        <v>3000</v>
      </c>
      <c r="J32" s="195">
        <f t="shared" si="10"/>
        <v>0</v>
      </c>
      <c r="K32" s="195"/>
      <c r="L32" s="195">
        <f t="shared" si="10"/>
        <v>0</v>
      </c>
      <c r="M32" s="196">
        <f t="shared" si="10"/>
        <v>0</v>
      </c>
      <c r="N32" s="196">
        <f t="shared" si="10"/>
        <v>0</v>
      </c>
      <c r="O32" s="196">
        <f t="shared" si="10"/>
        <v>1500</v>
      </c>
      <c r="P32" s="192">
        <v>0</v>
      </c>
      <c r="Q32" s="297">
        <f t="shared" si="11"/>
        <v>9097</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IF('Emp.-Detail'!F18="yes",E17)+IF('Emp.-Detail'!F18="NO",0)</f>
        <v>4597</v>
      </c>
      <c r="D33" s="192">
        <f>IF('Emp.-Detail'!F18="YES",K17)+IF('Emp.-Detail'!F18="NO",J17,0)</f>
        <v>0</v>
      </c>
      <c r="E33" s="195"/>
      <c r="F33" s="287">
        <f t="shared" si="9"/>
        <v>4597</v>
      </c>
      <c r="G33" s="192">
        <f t="shared" si="10"/>
        <v>0</v>
      </c>
      <c r="H33" s="194">
        <f t="shared" si="10"/>
        <v>0</v>
      </c>
      <c r="I33" s="192">
        <f t="shared" si="10"/>
        <v>3000</v>
      </c>
      <c r="J33" s="195">
        <f t="shared" si="10"/>
        <v>0</v>
      </c>
      <c r="K33" s="195"/>
      <c r="L33" s="195">
        <f t="shared" si="10"/>
        <v>0</v>
      </c>
      <c r="M33" s="196">
        <f t="shared" si="10"/>
        <v>0</v>
      </c>
      <c r="N33" s="196">
        <f t="shared" si="10"/>
        <v>0</v>
      </c>
      <c r="O33" s="196">
        <f t="shared" si="10"/>
        <v>1500</v>
      </c>
      <c r="P33" s="192">
        <v>0</v>
      </c>
      <c r="Q33" s="297">
        <f t="shared" si="11"/>
        <v>9097</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IF('Emp.-Detail'!F18="yes",E18)+IF('Emp.-Detail'!F18="NO",0)</f>
        <v>4597</v>
      </c>
      <c r="D34" s="192">
        <f>IF('Emp.-Detail'!F18="YES",K18)+IF('Emp.-Detail'!F18="NO",J18,0)</f>
        <v>0</v>
      </c>
      <c r="E34" s="195"/>
      <c r="F34" s="287">
        <f t="shared" si="9"/>
        <v>4597</v>
      </c>
      <c r="G34" s="192">
        <f t="shared" si="10"/>
        <v>0</v>
      </c>
      <c r="H34" s="194">
        <f t="shared" si="10"/>
        <v>0</v>
      </c>
      <c r="I34" s="192">
        <f t="shared" si="10"/>
        <v>3000</v>
      </c>
      <c r="J34" s="195">
        <f t="shared" si="10"/>
        <v>0</v>
      </c>
      <c r="K34" s="195"/>
      <c r="L34" s="195">
        <f t="shared" si="10"/>
        <v>0</v>
      </c>
      <c r="M34" s="196">
        <f t="shared" si="10"/>
        <v>0</v>
      </c>
      <c r="N34" s="196">
        <f t="shared" si="10"/>
        <v>0</v>
      </c>
      <c r="O34" s="196">
        <f t="shared" si="10"/>
        <v>1500</v>
      </c>
      <c r="P34" s="192">
        <v>0</v>
      </c>
      <c r="Q34" s="297">
        <f t="shared" si="11"/>
        <v>9097</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IF('Emp.-Detail'!F18="yes",E19)+IF('Emp.-Detail'!F18="NO",0)</f>
        <v>4597</v>
      </c>
      <c r="D35" s="192">
        <f>IF('Emp.-Detail'!F18="YES",K19)+IF('Emp.-Detail'!F18="NO",J19,0)</f>
        <v>0</v>
      </c>
      <c r="E35" s="195"/>
      <c r="F35" s="287">
        <f t="shared" si="9"/>
        <v>4597</v>
      </c>
      <c r="G35" s="192">
        <f t="shared" si="10"/>
        <v>0</v>
      </c>
      <c r="H35" s="194">
        <f t="shared" si="10"/>
        <v>0</v>
      </c>
      <c r="I35" s="192">
        <f t="shared" si="10"/>
        <v>3000</v>
      </c>
      <c r="J35" s="195">
        <f t="shared" si="10"/>
        <v>0</v>
      </c>
      <c r="K35" s="195"/>
      <c r="L35" s="195">
        <f t="shared" si="10"/>
        <v>0</v>
      </c>
      <c r="M35" s="196">
        <f t="shared" si="10"/>
        <v>0</v>
      </c>
      <c r="N35" s="196">
        <f t="shared" si="10"/>
        <v>0</v>
      </c>
      <c r="O35" s="196">
        <f t="shared" si="10"/>
        <v>1500</v>
      </c>
      <c r="P35" s="192">
        <v>0</v>
      </c>
      <c r="Q35" s="297">
        <f t="shared" si="11"/>
        <v>9097</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IF('Emp.-Detail'!F18="yes",E20)+IF('Emp.-Detail'!F18="NO",0)</f>
        <v>4597</v>
      </c>
      <c r="D36" s="192">
        <f>IF('Emp.-Detail'!F18="YES",K20)+IF('Emp.-Detail'!F18="NO",J20,0)</f>
        <v>0</v>
      </c>
      <c r="E36" s="195"/>
      <c r="F36" s="287">
        <f t="shared" si="9"/>
        <v>4597</v>
      </c>
      <c r="G36" s="192">
        <f t="shared" si="10"/>
        <v>0</v>
      </c>
      <c r="H36" s="194">
        <f t="shared" si="10"/>
        <v>0</v>
      </c>
      <c r="I36" s="192">
        <f t="shared" si="10"/>
        <v>3000</v>
      </c>
      <c r="J36" s="195">
        <f t="shared" si="10"/>
        <v>0</v>
      </c>
      <c r="K36" s="195"/>
      <c r="L36" s="195">
        <f t="shared" si="10"/>
        <v>0</v>
      </c>
      <c r="M36" s="196">
        <f t="shared" si="10"/>
        <v>0</v>
      </c>
      <c r="N36" s="196">
        <f t="shared" si="10"/>
        <v>0</v>
      </c>
      <c r="O36" s="196">
        <f t="shared" si="10"/>
        <v>1500</v>
      </c>
      <c r="P36" s="192">
        <v>0</v>
      </c>
      <c r="Q36" s="297">
        <f t="shared" si="11"/>
        <v>9097</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53691</v>
      </c>
      <c r="D37" s="287">
        <f>SUM(D25:D36)</f>
        <v>706</v>
      </c>
      <c r="E37" s="306"/>
      <c r="F37" s="307">
        <f t="shared" si="9"/>
        <v>54397</v>
      </c>
      <c r="G37" s="287">
        <f t="shared" ref="G37:Q37" si="12">SUM(G25:G36)</f>
        <v>0</v>
      </c>
      <c r="H37" s="288">
        <f>SUM(H25:H36)</f>
        <v>0</v>
      </c>
      <c r="I37" s="287">
        <f t="shared" si="12"/>
        <v>36000</v>
      </c>
      <c r="J37" s="306">
        <f t="shared" si="12"/>
        <v>0</v>
      </c>
      <c r="K37" s="306"/>
      <c r="L37" s="306">
        <f t="shared" si="12"/>
        <v>0</v>
      </c>
      <c r="M37" s="308">
        <f t="shared" si="12"/>
        <v>0</v>
      </c>
      <c r="N37" s="308">
        <f t="shared" si="12"/>
        <v>0</v>
      </c>
      <c r="O37" s="308">
        <f t="shared" si="12"/>
        <v>18000</v>
      </c>
      <c r="P37" s="288">
        <f t="shared" si="12"/>
        <v>251.9</v>
      </c>
      <c r="Q37" s="305">
        <f t="shared" si="12"/>
        <v>108648.9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567598</v>
      </c>
      <c r="D38" s="860"/>
      <c r="E38" s="309"/>
      <c r="F38" s="310"/>
      <c r="G38" s="1001" t="s">
        <v>13</v>
      </c>
      <c r="H38" s="1001"/>
      <c r="I38" s="1001"/>
      <c r="J38" s="860">
        <f>Q37</f>
        <v>108648.9</v>
      </c>
      <c r="K38" s="860"/>
      <c r="L38" s="860"/>
      <c r="M38" s="310"/>
      <c r="N38" s="998" t="s">
        <v>15</v>
      </c>
      <c r="O38" s="998"/>
      <c r="P38" s="860">
        <f>Q21-Q37</f>
        <v>458949.1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422584</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422580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17258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12258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245</v>
      </c>
      <c r="V43" s="949"/>
      <c r="W43" s="949"/>
      <c r="X43" s="1067" t="s">
        <v>84</v>
      </c>
      <c r="Y43" s="1067"/>
      <c r="Z43" s="1067"/>
      <c r="AA43" s="953">
        <f>ROUND((AD42*1%),0)</f>
        <v>123</v>
      </c>
      <c r="AB43" s="953"/>
      <c r="AC43" s="953"/>
      <c r="AD43" s="951">
        <f>U43+AA43</f>
        <v>368</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12626</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IF('Emp.-Detail'!F18="NO",0,ROUND(E21+K21,0))</f>
        <v>54397</v>
      </c>
      <c r="Q46" s="943"/>
      <c r="R46" s="22"/>
      <c r="S46" s="1071" t="s">
        <v>87</v>
      </c>
      <c r="T46" s="1072"/>
      <c r="U46" s="1072"/>
      <c r="V46" s="1072"/>
      <c r="W46" s="1072"/>
      <c r="X46" s="1072"/>
      <c r="Y46" s="1072"/>
      <c r="Z46" s="1072"/>
      <c r="AA46" s="1072"/>
      <c r="AB46" s="1072"/>
      <c r="AC46" s="1072"/>
      <c r="AD46" s="796">
        <f>AD44-AD45</f>
        <v>12626</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4500</v>
      </c>
      <c r="T49" s="1081"/>
      <c r="U49" s="1081"/>
      <c r="V49" s="1070">
        <f>SUM(O28:O30)</f>
        <v>4500</v>
      </c>
      <c r="W49" s="1070"/>
      <c r="X49" s="1070"/>
      <c r="Y49" s="1070">
        <f>SUM(O31:O33)</f>
        <v>4500</v>
      </c>
      <c r="Z49" s="1070"/>
      <c r="AA49" s="1070"/>
      <c r="AB49" s="951">
        <f>SUM(O34:O36)</f>
        <v>4500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18000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t="str">
        <f>IF(AD46&gt;AD50,AD46-AD50,"0")</f>
        <v>0</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f>IF(AD50&gt;AD46,AD46-AD50,"0")</f>
        <v>-5374</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 xml:space="preserve">SITARAM DADHICH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621995</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621995</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621995</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 xml:space="preserve">SITARAM DADHICH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AFZPD5085N</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9887415532</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621995</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'Emp.-Detail'!O18</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0</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138524</v>
      </c>
      <c r="K69" s="788"/>
      <c r="L69" s="788"/>
      <c r="M69" s="776"/>
      <c r="N69" s="775">
        <f>SUM(O25:O27)</f>
        <v>4500</v>
      </c>
      <c r="O69" s="776"/>
      <c r="P69" s="775">
        <f>N69</f>
        <v>4500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142514</v>
      </c>
      <c r="K70" s="788"/>
      <c r="L70" s="788"/>
      <c r="M70" s="776"/>
      <c r="N70" s="775">
        <f>SUM(O28:O30)</f>
        <v>4500</v>
      </c>
      <c r="O70" s="776"/>
      <c r="P70" s="775">
        <f>N70</f>
        <v>4500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142683</v>
      </c>
      <c r="K71" s="788"/>
      <c r="L71" s="788"/>
      <c r="M71" s="776"/>
      <c r="N71" s="775">
        <f>SUM(O31:O33)</f>
        <v>4500</v>
      </c>
      <c r="O71" s="776"/>
      <c r="P71" s="775">
        <f t="shared" ref="P71:P72" si="13">N71</f>
        <v>4500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143877</v>
      </c>
      <c r="K72" s="788"/>
      <c r="L72" s="788"/>
      <c r="M72" s="776"/>
      <c r="N72" s="775">
        <f>SUM(O34:O36)</f>
        <v>4500</v>
      </c>
      <c r="O72" s="776"/>
      <c r="P72" s="775">
        <f t="shared" si="13"/>
        <v>4500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567598</v>
      </c>
      <c r="K73" s="808"/>
      <c r="L73" s="808"/>
      <c r="M73" s="809"/>
      <c r="N73" s="845">
        <f>SUM(N69:N72)</f>
        <v>18000</v>
      </c>
      <c r="O73" s="809"/>
      <c r="P73" s="845">
        <f>SUM(P69:P72)</f>
        <v>18000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1500</v>
      </c>
      <c r="E76" s="219"/>
      <c r="F76" s="219">
        <f>O26</f>
        <v>1500</v>
      </c>
      <c r="G76" s="219">
        <f>O27</f>
        <v>1500</v>
      </c>
      <c r="H76" s="219">
        <f>O28</f>
        <v>1500</v>
      </c>
      <c r="I76" s="219">
        <f>O29</f>
        <v>1500</v>
      </c>
      <c r="J76" s="219">
        <f>O30</f>
        <v>1500</v>
      </c>
      <c r="K76" s="219"/>
      <c r="L76" s="219">
        <f>O31</f>
        <v>1500</v>
      </c>
      <c r="M76" s="219">
        <f>O32</f>
        <v>1500</v>
      </c>
      <c r="N76" s="219">
        <f>O33</f>
        <v>1500</v>
      </c>
      <c r="O76" s="219">
        <f>O34</f>
        <v>1500</v>
      </c>
      <c r="P76" s="219">
        <f>O35</f>
        <v>1500</v>
      </c>
      <c r="Q76" s="220">
        <f>O36</f>
        <v>1500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54397</v>
      </c>
      <c r="AA81" s="776"/>
      <c r="AB81" s="773">
        <f>SUM(Z67:Z81)</f>
        <v>90617</v>
      </c>
      <c r="AC81" s="1113"/>
      <c r="AD81" s="773">
        <f>AD26</f>
        <v>145014</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'Emp.-Detail'!N18</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'Emp.-Detail'!N18</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'Emp.-Detail'!N18</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'Emp.-Detail'!J18</f>
        <v>0</v>
      </c>
      <c r="C87" s="788"/>
      <c r="D87" s="776"/>
      <c r="E87" s="257"/>
      <c r="F87" s="1233" t="str">
        <f>'Emp.-Detail'!K18</f>
        <v>0</v>
      </c>
      <c r="G87" s="791"/>
      <c r="H87" s="791"/>
      <c r="I87" s="792"/>
      <c r="J87" s="810" t="str">
        <f>'Emp.-Detail'!L18</f>
        <v>00/00/0000</v>
      </c>
      <c r="K87" s="811"/>
      <c r="L87" s="811"/>
      <c r="M87" s="812"/>
      <c r="N87" s="1233" t="str">
        <f>'Emp.-Detail'!M18</f>
        <v>00</v>
      </c>
      <c r="O87" s="792"/>
      <c r="P87" s="793" t="str">
        <f>'Emp.-Detail'!N18</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18000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EIGHTEEN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145014</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422580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12258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368</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12626</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12626</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621995</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621995</v>
      </c>
      <c r="P104" s="776"/>
      <c r="Q104" s="258">
        <f>O104</f>
        <v>621995</v>
      </c>
      <c r="R104" s="235"/>
      <c r="S104" s="254"/>
      <c r="T104" s="229" t="str">
        <f>'DDO '!L10</f>
        <v>PRINCIPAL</v>
      </c>
      <c r="U104" s="229"/>
      <c r="V104" s="780" t="s">
        <v>51</v>
      </c>
      <c r="W104" s="780"/>
      <c r="X104" s="780"/>
      <c r="Y104" s="780"/>
      <c r="Z104" s="770">
        <f>AD100</f>
        <v>12626</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TWELVE  Thousand  SIX  Hundred  TWENTY  SIX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621995</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621995</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621995</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5"/>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5.xml><?xml version="1.0" encoding="utf-8"?>
<worksheet xmlns="http://schemas.openxmlformats.org/spreadsheetml/2006/main" xmlns:r="http://schemas.openxmlformats.org/officeDocument/2006/relationships">
  <dimension ref="A1:AJ150"/>
  <sheetViews>
    <sheetView view="pageBreakPreview" topLeftCell="A11" zoomScaleSheetLayoutView="100" workbookViewId="0">
      <selection activeCell="L25" sqref="L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VIJAY SINGH </v>
      </c>
      <c r="T3" s="538"/>
      <c r="U3" s="538"/>
      <c r="V3" s="538"/>
      <c r="W3" s="949" t="str">
        <f>P4</f>
        <v>Sr. Teacher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'Emp.-Detail'!B19</f>
        <v xml:space="preserve">VIJAY SINGH </v>
      </c>
      <c r="E4" s="949"/>
      <c r="F4" s="949"/>
      <c r="G4" s="949"/>
      <c r="H4" s="949"/>
      <c r="I4" s="854"/>
      <c r="J4" s="1185">
        <f>'Emp.-Detail'!A19</f>
        <v>11</v>
      </c>
      <c r="K4" s="1186"/>
      <c r="L4" s="1187"/>
      <c r="M4" s="982" t="s">
        <v>8</v>
      </c>
      <c r="N4" s="833"/>
      <c r="O4" s="833"/>
      <c r="P4" s="949" t="str">
        <f>'Emp.-Detail'!C19</f>
        <v>Sr. Teacher</v>
      </c>
      <c r="Q4" s="950"/>
      <c r="R4" s="50"/>
      <c r="S4" s="1250" t="str">
        <f>D5</f>
        <v>AIDPS3122L</v>
      </c>
      <c r="T4" s="538"/>
      <c r="U4" s="538"/>
      <c r="V4" s="538"/>
      <c r="W4" s="959" t="str">
        <f>'Emp.-Detail'!H19</f>
        <v>181200101003103</v>
      </c>
      <c r="X4" s="949"/>
      <c r="Y4" s="949"/>
      <c r="Z4" s="949"/>
      <c r="AA4" s="949" t="str">
        <f>'Emp.-Detail'!I19</f>
        <v>Corpo.Bank, Sujangarh</v>
      </c>
      <c r="AB4" s="949"/>
      <c r="AC4" s="949"/>
      <c r="AD4" s="949"/>
      <c r="AE4" s="949"/>
      <c r="AF4" s="950"/>
      <c r="AG4" s="17"/>
    </row>
    <row r="5" spans="1:33" ht="19.5" customHeight="1" thickBot="1">
      <c r="A5" s="954" t="s">
        <v>135</v>
      </c>
      <c r="B5" s="833"/>
      <c r="C5" s="833"/>
      <c r="D5" s="949" t="str">
        <f>'Emp.-Detail'!D19</f>
        <v>AIDPS3122L</v>
      </c>
      <c r="E5" s="949"/>
      <c r="F5" s="949"/>
      <c r="G5" s="949"/>
      <c r="H5" s="949"/>
      <c r="I5" s="854"/>
      <c r="J5" s="1188"/>
      <c r="K5" s="1189"/>
      <c r="L5" s="1190"/>
      <c r="M5" s="982" t="s">
        <v>137</v>
      </c>
      <c r="N5" s="833"/>
      <c r="O5" s="833"/>
      <c r="P5" s="959">
        <f>'Emp.-Detail'!G19</f>
        <v>9413175251</v>
      </c>
      <c r="Q5" s="950"/>
      <c r="R5" s="50"/>
      <c r="S5" s="974" t="s">
        <v>203</v>
      </c>
      <c r="T5" s="975"/>
      <c r="U5" s="975"/>
      <c r="V5" s="975"/>
      <c r="W5" s="951">
        <f>SUM(Q9:Q20)</f>
        <v>749538</v>
      </c>
      <c r="X5" s="951"/>
      <c r="Y5" s="1248" t="s">
        <v>202</v>
      </c>
      <c r="Z5" s="1249"/>
      <c r="AA5" s="1088"/>
      <c r="AB5" s="951">
        <f>P46</f>
        <v>0</v>
      </c>
      <c r="AC5" s="949"/>
      <c r="AD5" s="941">
        <f>W5+AB5</f>
        <v>749538</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749538</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749538</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749538</v>
      </c>
      <c r="AE8" s="942"/>
      <c r="AF8" s="943"/>
      <c r="AG8" s="17"/>
    </row>
    <row r="9" spans="1:33" ht="19.5" customHeight="1">
      <c r="A9" s="285">
        <v>1</v>
      </c>
      <c r="B9" s="286">
        <v>42430</v>
      </c>
      <c r="C9" s="190">
        <f>'Emp.-Detail'!E19</f>
        <v>25510</v>
      </c>
      <c r="D9" s="190">
        <f>ROUND(C9*119%,0)</f>
        <v>30357</v>
      </c>
      <c r="E9" s="191">
        <f>ROUND((C9+D9)*10%,0)</f>
        <v>5587</v>
      </c>
      <c r="F9" s="190">
        <f>ROUND(C9*10%,0)</f>
        <v>2551</v>
      </c>
      <c r="G9" s="190">
        <v>0</v>
      </c>
      <c r="H9" s="190">
        <v>0</v>
      </c>
      <c r="I9" s="192">
        <f>ROUND(C9*6%,0)*3</f>
        <v>4593</v>
      </c>
      <c r="J9" s="190">
        <v>0</v>
      </c>
      <c r="K9" s="190">
        <f>ROUND((I9+J9)*10%,0)</f>
        <v>459</v>
      </c>
      <c r="L9" s="190">
        <v>0</v>
      </c>
      <c r="M9" s="190">
        <v>0</v>
      </c>
      <c r="N9" s="190">
        <v>0</v>
      </c>
      <c r="O9" s="190">
        <v>0</v>
      </c>
      <c r="P9" s="193">
        <v>0</v>
      </c>
      <c r="Q9" s="290">
        <f>C9+D9+F9+G9+H9+I9+J9+L9+M9+N9+O9</f>
        <v>63011</v>
      </c>
      <c r="R9" s="282"/>
      <c r="S9" s="984" t="s">
        <v>144</v>
      </c>
      <c r="T9" s="985"/>
      <c r="U9" s="985"/>
      <c r="V9" s="985"/>
      <c r="W9" s="985"/>
      <c r="X9" s="985"/>
      <c r="Y9" s="985"/>
      <c r="Z9" s="971" t="s">
        <v>18</v>
      </c>
      <c r="AA9" s="971"/>
      <c r="AB9" s="967">
        <f>O49</f>
        <v>0</v>
      </c>
      <c r="AC9" s="968"/>
      <c r="AD9" s="977">
        <f>AD8+AB9</f>
        <v>749538</v>
      </c>
      <c r="AE9" s="978"/>
      <c r="AF9" s="979"/>
      <c r="AG9" s="17"/>
    </row>
    <row r="10" spans="1:33" ht="19.5" customHeight="1">
      <c r="A10" s="187">
        <v>2</v>
      </c>
      <c r="B10" s="286">
        <v>42461</v>
      </c>
      <c r="C10" s="192">
        <f>C9</f>
        <v>25510</v>
      </c>
      <c r="D10" s="190">
        <f>ROUND(C10*125%,0)</f>
        <v>31888</v>
      </c>
      <c r="E10" s="191">
        <f t="shared" ref="E10:E20" si="0">ROUND((C10+D10)*10%,0)</f>
        <v>5740</v>
      </c>
      <c r="F10" s="190">
        <f t="shared" ref="F10:F20" si="1">ROUND(C10*10%,0)</f>
        <v>2551</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59949</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25510</v>
      </c>
      <c r="D11" s="190">
        <f t="shared" ref="D11:D15" si="4">ROUND(C11*125%,0)</f>
        <v>31888</v>
      </c>
      <c r="E11" s="191">
        <f t="shared" si="0"/>
        <v>5740</v>
      </c>
      <c r="F11" s="190">
        <f t="shared" si="1"/>
        <v>2551</v>
      </c>
      <c r="G11" s="192">
        <f t="shared" ref="G11:H20" si="5">G10</f>
        <v>0</v>
      </c>
      <c r="H11" s="192">
        <f t="shared" si="5"/>
        <v>0</v>
      </c>
      <c r="I11" s="192">
        <v>0</v>
      </c>
      <c r="J11" s="190">
        <v>0</v>
      </c>
      <c r="K11" s="190">
        <f t="shared" si="2"/>
        <v>0</v>
      </c>
      <c r="L11" s="190">
        <v>0</v>
      </c>
      <c r="M11" s="190">
        <v>0</v>
      </c>
      <c r="N11" s="190">
        <v>0</v>
      </c>
      <c r="O11" s="190">
        <v>0</v>
      </c>
      <c r="P11" s="193">
        <v>0</v>
      </c>
      <c r="Q11" s="290">
        <f t="shared" si="3"/>
        <v>59949</v>
      </c>
      <c r="R11" s="50"/>
      <c r="S11" s="292" t="s">
        <v>146</v>
      </c>
      <c r="T11" s="958">
        <f>O50</f>
        <v>0</v>
      </c>
      <c r="U11" s="948"/>
      <c r="V11" s="980">
        <f>O51</f>
        <v>0</v>
      </c>
      <c r="W11" s="958"/>
      <c r="X11" s="948"/>
      <c r="Y11" s="980">
        <f>Q49</f>
        <v>0</v>
      </c>
      <c r="Z11" s="958"/>
      <c r="AA11" s="948"/>
      <c r="AB11" s="980">
        <f>T11+V11+Y11</f>
        <v>0</v>
      </c>
      <c r="AC11" s="948"/>
      <c r="AD11" s="941">
        <f>AD9-AB11</f>
        <v>749538</v>
      </c>
      <c r="AE11" s="942"/>
      <c r="AF11" s="943"/>
      <c r="AG11" s="17"/>
    </row>
    <row r="12" spans="1:33" ht="19.5" customHeight="1">
      <c r="A12" s="187">
        <v>4</v>
      </c>
      <c r="B12" s="286">
        <v>42522</v>
      </c>
      <c r="C12" s="192">
        <f>C11</f>
        <v>25510</v>
      </c>
      <c r="D12" s="190">
        <f t="shared" si="4"/>
        <v>31888</v>
      </c>
      <c r="E12" s="191">
        <f t="shared" si="0"/>
        <v>5740</v>
      </c>
      <c r="F12" s="190">
        <f t="shared" si="1"/>
        <v>2551</v>
      </c>
      <c r="G12" s="192">
        <f t="shared" si="5"/>
        <v>0</v>
      </c>
      <c r="H12" s="192">
        <f t="shared" si="5"/>
        <v>0</v>
      </c>
      <c r="I12" s="192">
        <v>0</v>
      </c>
      <c r="J12" s="190">
        <v>0</v>
      </c>
      <c r="K12" s="190">
        <f t="shared" si="2"/>
        <v>0</v>
      </c>
      <c r="L12" s="190">
        <v>0</v>
      </c>
      <c r="M12" s="190">
        <v>0</v>
      </c>
      <c r="N12" s="190">
        <v>0</v>
      </c>
      <c r="O12" s="190">
        <v>0</v>
      </c>
      <c r="P12" s="193">
        <v>0</v>
      </c>
      <c r="Q12" s="290">
        <f t="shared" si="3"/>
        <v>59949</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26280</v>
      </c>
      <c r="D13" s="190">
        <f t="shared" si="4"/>
        <v>32850</v>
      </c>
      <c r="E13" s="191">
        <f t="shared" si="0"/>
        <v>5913</v>
      </c>
      <c r="F13" s="190">
        <f t="shared" si="1"/>
        <v>2628</v>
      </c>
      <c r="G13" s="192">
        <f t="shared" si="5"/>
        <v>0</v>
      </c>
      <c r="H13" s="192">
        <f t="shared" si="5"/>
        <v>0</v>
      </c>
      <c r="I13" s="192">
        <v>0</v>
      </c>
      <c r="J13" s="190">
        <v>0</v>
      </c>
      <c r="K13" s="190">
        <f t="shared" si="2"/>
        <v>0</v>
      </c>
      <c r="L13" s="190">
        <v>0</v>
      </c>
      <c r="M13" s="190">
        <v>0</v>
      </c>
      <c r="N13" s="190">
        <v>0</v>
      </c>
      <c r="O13" s="190">
        <v>0</v>
      </c>
      <c r="P13" s="193">
        <v>0</v>
      </c>
      <c r="Q13" s="290">
        <f t="shared" si="3"/>
        <v>61758</v>
      </c>
      <c r="R13" s="70"/>
      <c r="S13" s="991">
        <f>O52</f>
        <v>0</v>
      </c>
      <c r="T13" s="948"/>
      <c r="U13" s="980">
        <f>O53</f>
        <v>0</v>
      </c>
      <c r="V13" s="948"/>
      <c r="W13" s="980">
        <f>O54</f>
        <v>0</v>
      </c>
      <c r="X13" s="948"/>
      <c r="Y13" s="980">
        <f>O55</f>
        <v>0</v>
      </c>
      <c r="Z13" s="958"/>
      <c r="AA13" s="958"/>
      <c r="AB13" s="951">
        <f>SUM(S13:AA13)</f>
        <v>0</v>
      </c>
      <c r="AC13" s="951"/>
      <c r="AD13" s="941">
        <f>AD11+AB13</f>
        <v>749538</v>
      </c>
      <c r="AE13" s="965"/>
      <c r="AF13" s="966"/>
      <c r="AG13" s="17"/>
    </row>
    <row r="14" spans="1:33" ht="19.5" customHeight="1">
      <c r="A14" s="187">
        <v>6</v>
      </c>
      <c r="B14" s="286">
        <v>42583</v>
      </c>
      <c r="C14" s="192">
        <f t="shared" ref="C14:C20" si="6">C13</f>
        <v>26280</v>
      </c>
      <c r="D14" s="190">
        <f>ROUND(C14*125%,0)</f>
        <v>32850</v>
      </c>
      <c r="E14" s="191">
        <f t="shared" si="0"/>
        <v>5913</v>
      </c>
      <c r="F14" s="190">
        <f t="shared" si="1"/>
        <v>2628</v>
      </c>
      <c r="G14" s="192">
        <f t="shared" si="5"/>
        <v>0</v>
      </c>
      <c r="H14" s="192">
        <f t="shared" si="5"/>
        <v>0</v>
      </c>
      <c r="I14" s="192">
        <v>0</v>
      </c>
      <c r="J14" s="192">
        <f>ROUND(C13*6%,0)*3</f>
        <v>4731</v>
      </c>
      <c r="K14" s="190">
        <f t="shared" si="2"/>
        <v>473</v>
      </c>
      <c r="L14" s="190">
        <v>0</v>
      </c>
      <c r="M14" s="190">
        <v>0</v>
      </c>
      <c r="N14" s="190">
        <v>0</v>
      </c>
      <c r="O14" s="190">
        <v>0</v>
      </c>
      <c r="P14" s="193">
        <v>0</v>
      </c>
      <c r="Q14" s="290">
        <f t="shared" si="3"/>
        <v>66489</v>
      </c>
      <c r="R14" s="50"/>
      <c r="S14" s="954" t="s">
        <v>19</v>
      </c>
      <c r="T14" s="833"/>
      <c r="U14" s="833"/>
      <c r="V14" s="833"/>
      <c r="W14" s="833"/>
      <c r="X14" s="833"/>
      <c r="Y14" s="833"/>
      <c r="Z14" s="833"/>
      <c r="AA14" s="951">
        <f>I55</f>
        <v>0</v>
      </c>
      <c r="AB14" s="951"/>
      <c r="AC14" s="951"/>
      <c r="AD14" s="941">
        <f>AD13+AA14</f>
        <v>749538</v>
      </c>
      <c r="AE14" s="942"/>
      <c r="AF14" s="943"/>
      <c r="AG14" s="17"/>
    </row>
    <row r="15" spans="1:33" ht="19.5" customHeight="1">
      <c r="A15" s="187">
        <v>7</v>
      </c>
      <c r="B15" s="286">
        <v>42614</v>
      </c>
      <c r="C15" s="192">
        <f t="shared" si="6"/>
        <v>26280</v>
      </c>
      <c r="D15" s="190">
        <f t="shared" si="4"/>
        <v>32850</v>
      </c>
      <c r="E15" s="191">
        <f t="shared" si="0"/>
        <v>5913</v>
      </c>
      <c r="F15" s="190">
        <f t="shared" si="1"/>
        <v>2628</v>
      </c>
      <c r="G15" s="192">
        <f t="shared" si="5"/>
        <v>0</v>
      </c>
      <c r="H15" s="192">
        <f t="shared" si="5"/>
        <v>0</v>
      </c>
      <c r="I15" s="192">
        <v>0</v>
      </c>
      <c r="J15" s="192">
        <v>0</v>
      </c>
      <c r="K15" s="190">
        <f t="shared" si="2"/>
        <v>0</v>
      </c>
      <c r="L15" s="190">
        <v>0</v>
      </c>
      <c r="M15" s="190">
        <v>0</v>
      </c>
      <c r="N15" s="190">
        <v>0</v>
      </c>
      <c r="O15" s="190">
        <v>0</v>
      </c>
      <c r="P15" s="193">
        <v>0</v>
      </c>
      <c r="Q15" s="290">
        <f t="shared" si="3"/>
        <v>61758</v>
      </c>
      <c r="R15" s="50"/>
      <c r="S15" s="992" t="s">
        <v>20</v>
      </c>
      <c r="T15" s="993"/>
      <c r="U15" s="993"/>
      <c r="V15" s="993"/>
      <c r="W15" s="993"/>
      <c r="X15" s="993"/>
      <c r="Y15" s="993"/>
      <c r="Z15" s="993"/>
      <c r="AA15" s="993"/>
      <c r="AB15" s="993"/>
      <c r="AC15" s="993"/>
      <c r="AD15" s="941">
        <f>AD14</f>
        <v>749538</v>
      </c>
      <c r="AE15" s="942"/>
      <c r="AF15" s="943"/>
      <c r="AG15" s="17"/>
    </row>
    <row r="16" spans="1:33" ht="19.5" customHeight="1">
      <c r="A16" s="187">
        <v>8</v>
      </c>
      <c r="B16" s="286">
        <v>42644</v>
      </c>
      <c r="C16" s="192">
        <f t="shared" si="6"/>
        <v>26280</v>
      </c>
      <c r="D16" s="190">
        <f>ROUND(C16*131%,0)</f>
        <v>34427</v>
      </c>
      <c r="E16" s="191">
        <f t="shared" si="0"/>
        <v>6071</v>
      </c>
      <c r="F16" s="190">
        <f t="shared" si="1"/>
        <v>2628</v>
      </c>
      <c r="G16" s="192">
        <f t="shared" si="5"/>
        <v>0</v>
      </c>
      <c r="H16" s="192">
        <f t="shared" si="5"/>
        <v>0</v>
      </c>
      <c r="I16" s="192">
        <v>0</v>
      </c>
      <c r="J16" s="192">
        <v>0</v>
      </c>
      <c r="K16" s="190">
        <f t="shared" si="2"/>
        <v>0</v>
      </c>
      <c r="L16" s="190">
        <v>0</v>
      </c>
      <c r="M16" s="190">
        <v>0</v>
      </c>
      <c r="N16" s="190">
        <v>0</v>
      </c>
      <c r="O16" s="190">
        <v>0</v>
      </c>
      <c r="P16" s="193">
        <v>0</v>
      </c>
      <c r="Q16" s="290">
        <f t="shared" si="3"/>
        <v>63335</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26280</v>
      </c>
      <c r="D17" s="190">
        <f>ROUND(C17*131%,0)</f>
        <v>34427</v>
      </c>
      <c r="E17" s="191">
        <f t="shared" si="0"/>
        <v>6071</v>
      </c>
      <c r="F17" s="190">
        <f t="shared" si="1"/>
        <v>2628</v>
      </c>
      <c r="G17" s="192">
        <f t="shared" si="5"/>
        <v>0</v>
      </c>
      <c r="H17" s="192">
        <f t="shared" si="5"/>
        <v>0</v>
      </c>
      <c r="I17" s="192">
        <v>0</v>
      </c>
      <c r="J17" s="192">
        <v>0</v>
      </c>
      <c r="K17" s="190">
        <f t="shared" si="2"/>
        <v>0</v>
      </c>
      <c r="L17" s="190">
        <v>0</v>
      </c>
      <c r="M17" s="190">
        <v>0</v>
      </c>
      <c r="N17" s="190">
        <v>0</v>
      </c>
      <c r="O17" s="190">
        <v>0</v>
      </c>
      <c r="P17" s="193">
        <v>0</v>
      </c>
      <c r="Q17" s="290">
        <f t="shared" si="3"/>
        <v>63335</v>
      </c>
      <c r="R17" s="50"/>
      <c r="S17" s="954" t="s">
        <v>157</v>
      </c>
      <c r="T17" s="833"/>
      <c r="U17" s="833"/>
      <c r="V17" s="951">
        <f>IF('Emp.-Detail'!F19="NO",F37,0)</f>
        <v>9324</v>
      </c>
      <c r="W17" s="951"/>
      <c r="X17" s="833" t="s">
        <v>167</v>
      </c>
      <c r="Y17" s="833"/>
      <c r="Z17" s="833"/>
      <c r="AA17" s="833"/>
      <c r="AB17" s="833"/>
      <c r="AC17" s="833"/>
      <c r="AD17" s="831">
        <f>F45</f>
        <v>0</v>
      </c>
      <c r="AE17" s="831"/>
      <c r="AF17" s="955"/>
      <c r="AG17" s="17"/>
    </row>
    <row r="18" spans="1:34" ht="19.5" customHeight="1">
      <c r="A18" s="187">
        <v>10</v>
      </c>
      <c r="B18" s="286">
        <v>42705</v>
      </c>
      <c r="C18" s="192">
        <f t="shared" si="6"/>
        <v>26280</v>
      </c>
      <c r="D18" s="190">
        <f>ROUND(C18*131%,0)</f>
        <v>34427</v>
      </c>
      <c r="E18" s="191">
        <f t="shared" si="0"/>
        <v>6071</v>
      </c>
      <c r="F18" s="190">
        <f t="shared" si="1"/>
        <v>2628</v>
      </c>
      <c r="G18" s="192">
        <f t="shared" si="5"/>
        <v>0</v>
      </c>
      <c r="H18" s="192">
        <f t="shared" si="5"/>
        <v>0</v>
      </c>
      <c r="I18" s="192">
        <v>0</v>
      </c>
      <c r="J18" s="192">
        <v>0</v>
      </c>
      <c r="K18" s="190">
        <f t="shared" si="2"/>
        <v>0</v>
      </c>
      <c r="L18" s="190">
        <v>0</v>
      </c>
      <c r="M18" s="190">
        <v>0</v>
      </c>
      <c r="N18" s="190">
        <v>0</v>
      </c>
      <c r="O18" s="190">
        <v>0</v>
      </c>
      <c r="P18" s="193">
        <v>0</v>
      </c>
      <c r="Q18" s="290">
        <f t="shared" si="3"/>
        <v>63335</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26280</v>
      </c>
      <c r="D19" s="190">
        <f>ROUND(C19*131%,0)</f>
        <v>34427</v>
      </c>
      <c r="E19" s="191">
        <f t="shared" si="0"/>
        <v>6071</v>
      </c>
      <c r="F19" s="190">
        <f t="shared" si="1"/>
        <v>2628</v>
      </c>
      <c r="G19" s="192">
        <f t="shared" si="5"/>
        <v>0</v>
      </c>
      <c r="H19" s="192">
        <f t="shared" si="5"/>
        <v>0</v>
      </c>
      <c r="I19" s="192">
        <v>0</v>
      </c>
      <c r="J19" s="192">
        <v>0</v>
      </c>
      <c r="K19" s="190">
        <f t="shared" si="2"/>
        <v>0</v>
      </c>
      <c r="L19" s="190">
        <v>0</v>
      </c>
      <c r="M19" s="190">
        <v>0</v>
      </c>
      <c r="N19" s="190">
        <v>0</v>
      </c>
      <c r="O19" s="190">
        <v>0</v>
      </c>
      <c r="P19" s="193">
        <v>0</v>
      </c>
      <c r="Q19" s="290">
        <f t="shared" si="3"/>
        <v>63335</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26280</v>
      </c>
      <c r="D20" s="190">
        <f>ROUND(C20*131%,0)</f>
        <v>34427</v>
      </c>
      <c r="E20" s="191">
        <f t="shared" si="0"/>
        <v>6071</v>
      </c>
      <c r="F20" s="190">
        <f t="shared" si="1"/>
        <v>2628</v>
      </c>
      <c r="G20" s="192">
        <f t="shared" si="5"/>
        <v>0</v>
      </c>
      <c r="H20" s="192">
        <f t="shared" si="5"/>
        <v>0</v>
      </c>
      <c r="I20" s="192">
        <v>0</v>
      </c>
      <c r="J20" s="192">
        <v>0</v>
      </c>
      <c r="K20" s="190">
        <f t="shared" si="2"/>
        <v>0</v>
      </c>
      <c r="L20" s="190">
        <v>0</v>
      </c>
      <c r="M20" s="190">
        <v>0</v>
      </c>
      <c r="N20" s="190">
        <v>0</v>
      </c>
      <c r="O20" s="190">
        <v>0</v>
      </c>
      <c r="P20" s="193">
        <v>0</v>
      </c>
      <c r="Q20" s="290">
        <f t="shared" si="3"/>
        <v>63335</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312280</v>
      </c>
      <c r="D21" s="287">
        <f>SUM(D9:D20)</f>
        <v>396706</v>
      </c>
      <c r="E21" s="288">
        <f>SUM(E9:E20)</f>
        <v>70901</v>
      </c>
      <c r="F21" s="287">
        <f>SUM(F9:F20)</f>
        <v>31228</v>
      </c>
      <c r="G21" s="287">
        <f t="shared" si="7"/>
        <v>0</v>
      </c>
      <c r="H21" s="287">
        <f>SUM(H9:H20)</f>
        <v>0</v>
      </c>
      <c r="I21" s="287">
        <f t="shared" si="7"/>
        <v>4593</v>
      </c>
      <c r="J21" s="287">
        <f t="shared" si="7"/>
        <v>4731</v>
      </c>
      <c r="K21" s="287">
        <f>SUM(K9:K20)</f>
        <v>932</v>
      </c>
      <c r="L21" s="287">
        <f t="shared" si="7"/>
        <v>0</v>
      </c>
      <c r="M21" s="287">
        <f t="shared" si="7"/>
        <v>0</v>
      </c>
      <c r="N21" s="287">
        <f t="shared" si="7"/>
        <v>0</v>
      </c>
      <c r="O21" s="287">
        <f>SUM(O9:O20)</f>
        <v>0</v>
      </c>
      <c r="P21" s="289">
        <f>SUM(P9:P20)</f>
        <v>0</v>
      </c>
      <c r="Q21" s="84">
        <f>SUM(Q9:Q20)</f>
        <v>749538</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IF('Emp.-Detail'!F19="yes",E9)+IF('Emp.-Detail'!F19="NO",0)</f>
        <v>0</v>
      </c>
      <c r="D25" s="192">
        <f>IF('Emp.-Detail'!F19="YES",K9)+IF('Emp.-Detail'!F19="NO",I9,0)</f>
        <v>4593</v>
      </c>
      <c r="E25" s="195"/>
      <c r="F25" s="287">
        <f>SUM(C25:D25)</f>
        <v>4593</v>
      </c>
      <c r="G25" s="192">
        <v>0</v>
      </c>
      <c r="H25" s="194">
        <v>0</v>
      </c>
      <c r="I25" s="192">
        <v>3000</v>
      </c>
      <c r="J25" s="195">
        <v>0</v>
      </c>
      <c r="K25" s="195"/>
      <c r="L25" s="195">
        <v>0</v>
      </c>
      <c r="M25" s="196">
        <v>595</v>
      </c>
      <c r="N25" s="196">
        <v>0</v>
      </c>
      <c r="O25" s="196">
        <v>1000</v>
      </c>
      <c r="P25" s="192">
        <v>0</v>
      </c>
      <c r="Q25" s="297">
        <f>SUM(F25:P25)</f>
        <v>9188</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IF('Emp.-Detail'!F19="yes",E10)+IF('Emp.-Detail'!F19="NO",0)</f>
        <v>0</v>
      </c>
      <c r="D26" s="192">
        <f>IF('Emp.-Detail'!F19="YES",K10)+IF('Emp.-Detail'!F19="NO",I10,0)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1000</v>
      </c>
      <c r="P26" s="194">
        <f>'Emp.-Detail'!AB9+'Emp.-Detail'!AB9*14.5%</f>
        <v>251.9</v>
      </c>
      <c r="Q26" s="297">
        <f t="shared" ref="Q26:Q36" si="11">SUM(F26:P26)</f>
        <v>4846.8999999999996</v>
      </c>
      <c r="R26" s="50"/>
      <c r="S26" s="1089" t="s">
        <v>279</v>
      </c>
      <c r="T26" s="1090"/>
      <c r="U26" s="1090"/>
      <c r="V26" s="1090"/>
      <c r="W26" s="1090"/>
      <c r="X26" s="1090"/>
      <c r="Y26" s="1090"/>
      <c r="Z26" s="1090"/>
      <c r="AA26" s="1091"/>
      <c r="AB26" s="942">
        <f>SUM(V17:V25)+SUM(AD17:AD25)</f>
        <v>45544</v>
      </c>
      <c r="AC26" s="957"/>
      <c r="AD26" s="1135">
        <f>IF(AB26&lt;=150000,AB26,150000)+AD25</f>
        <v>45544</v>
      </c>
      <c r="AE26" s="1136"/>
      <c r="AF26" s="1137"/>
      <c r="AG26" s="17"/>
    </row>
    <row r="27" spans="1:34" ht="19.5" customHeight="1">
      <c r="A27" s="187">
        <v>3</v>
      </c>
      <c r="B27" s="296">
        <f t="shared" si="8"/>
        <v>42491</v>
      </c>
      <c r="C27" s="192">
        <f>IF('Emp.-Detail'!F19="yes",E11)+IF('Emp.-Detail'!F19="NO",0)</f>
        <v>0</v>
      </c>
      <c r="D27" s="192">
        <f>IF('Emp.-Detail'!F19="YES",K11)+IF('Emp.-Detail'!F19="NO",I11,0)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1000</v>
      </c>
      <c r="P27" s="192">
        <v>0</v>
      </c>
      <c r="Q27" s="297">
        <f t="shared" si="11"/>
        <v>4595</v>
      </c>
      <c r="R27" s="50"/>
      <c r="S27" s="1085" t="s">
        <v>592</v>
      </c>
      <c r="T27" s="1086"/>
      <c r="U27" s="1086"/>
      <c r="V27" s="1086"/>
      <c r="W27" s="1086"/>
      <c r="X27" s="1086"/>
      <c r="Y27" s="1086"/>
      <c r="Z27" s="1086"/>
      <c r="AA27" s="1086"/>
      <c r="AB27" s="1087">
        <f>AB5</f>
        <v>0</v>
      </c>
      <c r="AC27" s="1088"/>
      <c r="AD27" s="831">
        <f>AD15-(AD26+AB5)</f>
        <v>703994</v>
      </c>
      <c r="AE27" s="831"/>
      <c r="AF27" s="955"/>
      <c r="AG27" s="17"/>
    </row>
    <row r="28" spans="1:34" ht="19.5" customHeight="1">
      <c r="A28" s="187">
        <v>4</v>
      </c>
      <c r="B28" s="296">
        <f t="shared" si="8"/>
        <v>42522</v>
      </c>
      <c r="C28" s="192">
        <f>IF('Emp.-Detail'!F19="yes",E12)+IF('Emp.-Detail'!F19="NO",0)</f>
        <v>0</v>
      </c>
      <c r="D28" s="192">
        <f>IF('Emp.-Detail'!F19="YES",K12)+IF('Emp.-Detail'!F19="NO",I12,0)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1000</v>
      </c>
      <c r="P28" s="192">
        <v>0</v>
      </c>
      <c r="Q28" s="297">
        <f t="shared" si="11"/>
        <v>4595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IF('Emp.-Detail'!F19="yes",E13)+IF('Emp.-Detail'!F19="NO",0)</f>
        <v>0</v>
      </c>
      <c r="D29" s="192">
        <f>IF('Emp.-Detail'!F19="YES",K13)+IF('Emp.-Detail'!F19="NO",I13,0)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1000</v>
      </c>
      <c r="P29" s="192">
        <v>0</v>
      </c>
      <c r="Q29" s="297">
        <f t="shared" si="11"/>
        <v>4595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IF('Emp.-Detail'!F19="yes",E14)+IF('Emp.-Detail'!F19="NO",0)</f>
        <v>0</v>
      </c>
      <c r="D30" s="192">
        <f>IF('Emp.-Detail'!F19="YES",K14)+IF('Emp.-Detail'!F19="NO",J14,0)</f>
        <v>4731</v>
      </c>
      <c r="E30" s="195"/>
      <c r="F30" s="287">
        <f t="shared" si="9"/>
        <v>4731</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1000</v>
      </c>
      <c r="P30" s="192">
        <v>0</v>
      </c>
      <c r="Q30" s="297">
        <f t="shared" si="11"/>
        <v>9326</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IF('Emp.-Detail'!F19="yes",E15)+IF('Emp.-Detail'!F19="NO",0)</f>
        <v>0</v>
      </c>
      <c r="D31" s="192">
        <f>IF('Emp.-Detail'!F19="YES",K15)+IF('Emp.-Detail'!F19="NO",J15,0)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1000</v>
      </c>
      <c r="P31" s="192">
        <v>0</v>
      </c>
      <c r="Q31" s="297">
        <f t="shared" si="11"/>
        <v>4595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IF('Emp.-Detail'!F19="yes",E16)+IF('Emp.-Detail'!F19="NO",0)</f>
        <v>0</v>
      </c>
      <c r="D32" s="192">
        <f>IF('Emp.-Detail'!F19="YES",K16)+IF('Emp.-Detail'!F19="NO",J16,0)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1000</v>
      </c>
      <c r="P32" s="192">
        <v>0</v>
      </c>
      <c r="Q32" s="297">
        <f t="shared" si="11"/>
        <v>4595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IF('Emp.-Detail'!F19="yes",E17)+IF('Emp.-Detail'!F19="NO",0)</f>
        <v>0</v>
      </c>
      <c r="D33" s="192">
        <f>IF('Emp.-Detail'!F19="YES",K17)+IF('Emp.-Detail'!F19="NO",J17,0)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1000</v>
      </c>
      <c r="P33" s="192">
        <v>0</v>
      </c>
      <c r="Q33" s="297">
        <f t="shared" si="11"/>
        <v>4595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IF('Emp.-Detail'!F19="yes",E18)+IF('Emp.-Detail'!F19="NO",0)</f>
        <v>0</v>
      </c>
      <c r="D34" s="192">
        <f>IF('Emp.-Detail'!F19="YES",K18)+IF('Emp.-Detail'!F19="NO",J18,0)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1000</v>
      </c>
      <c r="P34" s="192">
        <v>0</v>
      </c>
      <c r="Q34" s="297">
        <f t="shared" si="11"/>
        <v>4595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IF('Emp.-Detail'!F19="yes",E19)+IF('Emp.-Detail'!F19="NO",0)</f>
        <v>0</v>
      </c>
      <c r="D35" s="192">
        <f>IF('Emp.-Detail'!F19="YES",K19)+IF('Emp.-Detail'!F19="NO",J19,0)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1000</v>
      </c>
      <c r="P35" s="192">
        <v>0</v>
      </c>
      <c r="Q35" s="297">
        <f t="shared" si="11"/>
        <v>4595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IF('Emp.-Detail'!F19="yes",E20)+IF('Emp.-Detail'!F19="NO",0)</f>
        <v>0</v>
      </c>
      <c r="D36" s="192">
        <f>IF('Emp.-Detail'!F19="YES",K20)+IF('Emp.-Detail'!F19="NO",J20,0)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1000</v>
      </c>
      <c r="P36" s="192">
        <v>0</v>
      </c>
      <c r="Q36" s="297">
        <f t="shared" si="11"/>
        <v>4595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9324</v>
      </c>
      <c r="E37" s="306"/>
      <c r="F37" s="307">
        <f t="shared" si="9"/>
        <v>9324</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12000</v>
      </c>
      <c r="P37" s="288">
        <f t="shared" si="12"/>
        <v>251.9</v>
      </c>
      <c r="Q37" s="305">
        <f t="shared" si="12"/>
        <v>64715.9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749538</v>
      </c>
      <c r="D38" s="860"/>
      <c r="E38" s="309"/>
      <c r="F38" s="310"/>
      <c r="G38" s="1001" t="s">
        <v>13</v>
      </c>
      <c r="H38" s="1001"/>
      <c r="I38" s="1001"/>
      <c r="J38" s="860">
        <f>Q37</f>
        <v>64715.9</v>
      </c>
      <c r="K38" s="860"/>
      <c r="L38" s="860"/>
      <c r="M38" s="310"/>
      <c r="N38" s="998" t="s">
        <v>15</v>
      </c>
      <c r="O38" s="998"/>
      <c r="P38" s="860">
        <f>Q21-Q37</f>
        <v>684822.1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703994</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703990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65798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65798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1316</v>
      </c>
      <c r="V43" s="949"/>
      <c r="W43" s="949"/>
      <c r="X43" s="1067" t="s">
        <v>84</v>
      </c>
      <c r="Y43" s="1067"/>
      <c r="Z43" s="1067"/>
      <c r="AA43" s="953">
        <f>ROUND((AD42*1%),0)</f>
        <v>658</v>
      </c>
      <c r="AB43" s="953"/>
      <c r="AC43" s="953"/>
      <c r="AD43" s="951">
        <f>U43+AA43</f>
        <v>1974</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67772</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IF('Emp.-Detail'!F19="NO",0,ROUND(E21+K21,0))</f>
        <v>0</v>
      </c>
      <c r="Q46" s="943"/>
      <c r="R46" s="22"/>
      <c r="S46" s="1071" t="s">
        <v>87</v>
      </c>
      <c r="T46" s="1072"/>
      <c r="U46" s="1072"/>
      <c r="V46" s="1072"/>
      <c r="W46" s="1072"/>
      <c r="X46" s="1072"/>
      <c r="Y46" s="1072"/>
      <c r="Z46" s="1072"/>
      <c r="AA46" s="1072"/>
      <c r="AB46" s="1072"/>
      <c r="AC46" s="1072"/>
      <c r="AD46" s="796">
        <f>AD44-AD45</f>
        <v>67772</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3000</v>
      </c>
      <c r="T49" s="1081"/>
      <c r="U49" s="1081"/>
      <c r="V49" s="1070">
        <f>SUM(O28:O30)</f>
        <v>3000</v>
      </c>
      <c r="W49" s="1070"/>
      <c r="X49" s="1070"/>
      <c r="Y49" s="1070">
        <f>SUM(O31:O33)</f>
        <v>3000</v>
      </c>
      <c r="Z49" s="1070"/>
      <c r="AA49" s="1070"/>
      <c r="AB49" s="951">
        <f>SUM(O34:O36)</f>
        <v>3000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12000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55772</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 xml:space="preserve">VIJAY SINGH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749538</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749538</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749538</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 xml:space="preserve">VIJAY SINGH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AIDPS3122L</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9413175251</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749538</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'Emp.-Detail'!O19</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9324</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182909</v>
      </c>
      <c r="K69" s="788"/>
      <c r="L69" s="788"/>
      <c r="M69" s="776"/>
      <c r="N69" s="775">
        <f>SUM(O25:O27)</f>
        <v>3000</v>
      </c>
      <c r="O69" s="776"/>
      <c r="P69" s="775">
        <f>N69</f>
        <v>3000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188196</v>
      </c>
      <c r="K70" s="788"/>
      <c r="L70" s="788"/>
      <c r="M70" s="776"/>
      <c r="N70" s="775">
        <f>SUM(O28:O30)</f>
        <v>3000</v>
      </c>
      <c r="O70" s="776"/>
      <c r="P70" s="775">
        <f>N70</f>
        <v>3000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188428</v>
      </c>
      <c r="K71" s="788"/>
      <c r="L71" s="788"/>
      <c r="M71" s="776"/>
      <c r="N71" s="775">
        <f>SUM(O31:O33)</f>
        <v>3000</v>
      </c>
      <c r="O71" s="776"/>
      <c r="P71" s="775">
        <f t="shared" ref="P71:P72" si="13">N71</f>
        <v>3000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190005</v>
      </c>
      <c r="K72" s="788"/>
      <c r="L72" s="788"/>
      <c r="M72" s="776"/>
      <c r="N72" s="775">
        <f>SUM(O34:O36)</f>
        <v>3000</v>
      </c>
      <c r="O72" s="776"/>
      <c r="P72" s="775">
        <f t="shared" si="13"/>
        <v>3000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749538</v>
      </c>
      <c r="K73" s="808"/>
      <c r="L73" s="808"/>
      <c r="M73" s="809"/>
      <c r="N73" s="845">
        <f>SUM(N69:N72)</f>
        <v>12000</v>
      </c>
      <c r="O73" s="809"/>
      <c r="P73" s="845">
        <f>SUM(P69:P72)</f>
        <v>12000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1000</v>
      </c>
      <c r="E76" s="219"/>
      <c r="F76" s="219">
        <f>O26</f>
        <v>1000</v>
      </c>
      <c r="G76" s="219">
        <f>O27</f>
        <v>1000</v>
      </c>
      <c r="H76" s="219">
        <f>O28</f>
        <v>1000</v>
      </c>
      <c r="I76" s="219">
        <f>O29</f>
        <v>1000</v>
      </c>
      <c r="J76" s="219">
        <f>O30</f>
        <v>1000</v>
      </c>
      <c r="K76" s="219"/>
      <c r="L76" s="219">
        <f>O31</f>
        <v>1000</v>
      </c>
      <c r="M76" s="219">
        <f>O32</f>
        <v>1000</v>
      </c>
      <c r="N76" s="219">
        <f>O33</f>
        <v>1000</v>
      </c>
      <c r="O76" s="219">
        <f>O34</f>
        <v>1000</v>
      </c>
      <c r="P76" s="219">
        <f>O35</f>
        <v>1000</v>
      </c>
      <c r="Q76" s="220">
        <f>O36</f>
        <v>1000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45544</v>
      </c>
      <c r="AC81" s="1113"/>
      <c r="AD81" s="773">
        <f>AD26</f>
        <v>45544</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'Emp.-Detail'!N19</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'Emp.-Detail'!N19</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'Emp.-Detail'!N19</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'Emp.-Detail'!J19</f>
        <v>0</v>
      </c>
      <c r="C87" s="788"/>
      <c r="D87" s="776"/>
      <c r="E87" s="257"/>
      <c r="F87" s="1233" t="str">
        <f>'Emp.-Detail'!K19</f>
        <v>0</v>
      </c>
      <c r="G87" s="791"/>
      <c r="H87" s="791"/>
      <c r="I87" s="792"/>
      <c r="J87" s="810" t="str">
        <f>'Emp.-Detail'!L19</f>
        <v>00/00/0000</v>
      </c>
      <c r="K87" s="811"/>
      <c r="L87" s="811"/>
      <c r="M87" s="812"/>
      <c r="N87" s="1233" t="str">
        <f>'Emp.-Detail'!M19</f>
        <v>00</v>
      </c>
      <c r="O87" s="792"/>
      <c r="P87" s="793" t="str">
        <f>'Emp.-Detail'!N19</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12000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TWELVE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45544</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703990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65798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1974</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67772</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67772</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749538</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749538</v>
      </c>
      <c r="P104" s="776"/>
      <c r="Q104" s="258">
        <f>O104</f>
        <v>749538</v>
      </c>
      <c r="R104" s="235"/>
      <c r="S104" s="254"/>
      <c r="T104" s="229" t="str">
        <f>'DDO '!L10</f>
        <v>PRINCIPAL</v>
      </c>
      <c r="U104" s="229"/>
      <c r="V104" s="780" t="s">
        <v>51</v>
      </c>
      <c r="W104" s="780"/>
      <c r="X104" s="780"/>
      <c r="Y104" s="780"/>
      <c r="Z104" s="770">
        <f>AD100</f>
        <v>67772</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SIXTY  SEVEN  Thousand  SEVEN  Hundred  SEVENTY  TWO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749538</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749538</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749538</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5"/>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6.xml><?xml version="1.0" encoding="utf-8"?>
<worksheet xmlns="http://schemas.openxmlformats.org/spreadsheetml/2006/main" xmlns:r="http://schemas.openxmlformats.org/officeDocument/2006/relationships">
  <dimension ref="A1:AJ150"/>
  <sheetViews>
    <sheetView view="pageBreakPreview" topLeftCell="A15" zoomScaleSheetLayoutView="100" workbookViewId="0">
      <selection activeCell="N25" sqref="N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RANVEER SINGH</v>
      </c>
      <c r="T3" s="538"/>
      <c r="U3" s="538"/>
      <c r="V3" s="538"/>
      <c r="W3" s="949" t="str">
        <f>P4</f>
        <v>Sr. Teacher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'Emp.-Detail'!B20</f>
        <v>RANVEER SINGH</v>
      </c>
      <c r="E4" s="949"/>
      <c r="F4" s="949"/>
      <c r="G4" s="949"/>
      <c r="H4" s="949"/>
      <c r="I4" s="854"/>
      <c r="J4" s="1185">
        <f>'Emp.-Detail'!A20</f>
        <v>12</v>
      </c>
      <c r="K4" s="1186"/>
      <c r="L4" s="1187"/>
      <c r="M4" s="982" t="s">
        <v>8</v>
      </c>
      <c r="N4" s="833"/>
      <c r="O4" s="833"/>
      <c r="P4" s="949" t="str">
        <f>'Emp.-Detail'!C20</f>
        <v>Sr. Teacher</v>
      </c>
      <c r="Q4" s="950"/>
      <c r="R4" s="50"/>
      <c r="S4" s="1250" t="str">
        <f>D5</f>
        <v>ABKPM3872F</v>
      </c>
      <c r="T4" s="538"/>
      <c r="U4" s="538"/>
      <c r="V4" s="538"/>
      <c r="W4" s="959" t="str">
        <f>'Emp.-Detail'!H20</f>
        <v>40750100012689</v>
      </c>
      <c r="X4" s="949"/>
      <c r="Y4" s="949"/>
      <c r="Z4" s="949"/>
      <c r="AA4" s="949" t="str">
        <f>'Emp.-Detail'!I20</f>
        <v>BRKGB, Sujangarh</v>
      </c>
      <c r="AB4" s="949"/>
      <c r="AC4" s="949"/>
      <c r="AD4" s="949"/>
      <c r="AE4" s="949"/>
      <c r="AF4" s="950"/>
      <c r="AG4" s="17"/>
    </row>
    <row r="5" spans="1:33" ht="19.5" customHeight="1" thickBot="1">
      <c r="A5" s="954" t="s">
        <v>135</v>
      </c>
      <c r="B5" s="833"/>
      <c r="C5" s="833"/>
      <c r="D5" s="949" t="str">
        <f>'Emp.-Detail'!D20</f>
        <v>ABKPM3872F</v>
      </c>
      <c r="E5" s="949"/>
      <c r="F5" s="949"/>
      <c r="G5" s="949"/>
      <c r="H5" s="949"/>
      <c r="I5" s="854"/>
      <c r="J5" s="1188"/>
      <c r="K5" s="1189"/>
      <c r="L5" s="1190"/>
      <c r="M5" s="982" t="s">
        <v>137</v>
      </c>
      <c r="N5" s="833"/>
      <c r="O5" s="833"/>
      <c r="P5" s="959">
        <f>'Emp.-Detail'!G20</f>
        <v>9509114321</v>
      </c>
      <c r="Q5" s="950"/>
      <c r="R5" s="50"/>
      <c r="S5" s="974" t="s">
        <v>203</v>
      </c>
      <c r="T5" s="975"/>
      <c r="U5" s="975"/>
      <c r="V5" s="975"/>
      <c r="W5" s="951">
        <f>SUM(Q9:Q20)</f>
        <v>776738</v>
      </c>
      <c r="X5" s="951"/>
      <c r="Y5" s="1248" t="s">
        <v>202</v>
      </c>
      <c r="Z5" s="1249"/>
      <c r="AA5" s="1088"/>
      <c r="AB5" s="951">
        <f>P46</f>
        <v>0</v>
      </c>
      <c r="AC5" s="949"/>
      <c r="AD5" s="941">
        <f>W5+AB5</f>
        <v>776738</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776738</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776738</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776738</v>
      </c>
      <c r="AE8" s="942"/>
      <c r="AF8" s="943"/>
      <c r="AG8" s="17"/>
    </row>
    <row r="9" spans="1:33" ht="19.5" customHeight="1">
      <c r="A9" s="285">
        <v>1</v>
      </c>
      <c r="B9" s="286">
        <v>42430</v>
      </c>
      <c r="C9" s="190">
        <f>'Emp.-Detail'!E20</f>
        <v>25460</v>
      </c>
      <c r="D9" s="190">
        <f>ROUND(C9*119%,0)</f>
        <v>30297</v>
      </c>
      <c r="E9" s="191">
        <f>ROUND((C9+D9)*10%,0)</f>
        <v>5576</v>
      </c>
      <c r="F9" s="190">
        <f>ROUND(C9*10%,0)</f>
        <v>2546</v>
      </c>
      <c r="G9" s="190">
        <v>0</v>
      </c>
      <c r="H9" s="190">
        <v>0</v>
      </c>
      <c r="I9" s="192">
        <f>ROUND(C9*6%,0)*3</f>
        <v>4584</v>
      </c>
      <c r="J9" s="190">
        <v>0</v>
      </c>
      <c r="K9" s="190">
        <f>ROUND((I9+J9)*10%,0)</f>
        <v>458</v>
      </c>
      <c r="L9" s="190">
        <v>28643</v>
      </c>
      <c r="M9" s="190">
        <v>0</v>
      </c>
      <c r="N9" s="190">
        <v>0</v>
      </c>
      <c r="O9" s="190">
        <v>0</v>
      </c>
      <c r="P9" s="193">
        <v>0</v>
      </c>
      <c r="Q9" s="290">
        <f>C9+D9+F9+G9+H9+I9+J9+L9+M9+N9+O9</f>
        <v>91530</v>
      </c>
      <c r="R9" s="282"/>
      <c r="S9" s="984" t="s">
        <v>144</v>
      </c>
      <c r="T9" s="985"/>
      <c r="U9" s="985"/>
      <c r="V9" s="985"/>
      <c r="W9" s="985"/>
      <c r="X9" s="985"/>
      <c r="Y9" s="985"/>
      <c r="Z9" s="971" t="s">
        <v>18</v>
      </c>
      <c r="AA9" s="971"/>
      <c r="AB9" s="967">
        <f>O49</f>
        <v>0</v>
      </c>
      <c r="AC9" s="968"/>
      <c r="AD9" s="977">
        <f>AD8+AB9</f>
        <v>776738</v>
      </c>
      <c r="AE9" s="978"/>
      <c r="AF9" s="979"/>
      <c r="AG9" s="17"/>
    </row>
    <row r="10" spans="1:33" ht="19.5" customHeight="1">
      <c r="A10" s="187">
        <v>2</v>
      </c>
      <c r="B10" s="286">
        <v>42461</v>
      </c>
      <c r="C10" s="192">
        <f>C9</f>
        <v>25460</v>
      </c>
      <c r="D10" s="190">
        <f>ROUND(C10*125%,0)</f>
        <v>31825</v>
      </c>
      <c r="E10" s="191">
        <f t="shared" ref="E10:E20" si="0">ROUND((C10+D10)*10%,0)</f>
        <v>5729</v>
      </c>
      <c r="F10" s="190">
        <f t="shared" ref="F10:F20" si="1">ROUND(C10*10%,0)</f>
        <v>2546</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59831</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25460</v>
      </c>
      <c r="D11" s="190">
        <f t="shared" ref="D11:D15" si="4">ROUND(C11*125%,0)</f>
        <v>31825</v>
      </c>
      <c r="E11" s="191">
        <f t="shared" si="0"/>
        <v>5729</v>
      </c>
      <c r="F11" s="190">
        <f t="shared" si="1"/>
        <v>2546</v>
      </c>
      <c r="G11" s="192">
        <f t="shared" ref="G11:H20" si="5">G10</f>
        <v>0</v>
      </c>
      <c r="H11" s="192">
        <f t="shared" si="5"/>
        <v>0</v>
      </c>
      <c r="I11" s="192">
        <v>0</v>
      </c>
      <c r="J11" s="190">
        <v>0</v>
      </c>
      <c r="K11" s="190">
        <f t="shared" si="2"/>
        <v>0</v>
      </c>
      <c r="L11" s="190">
        <v>0</v>
      </c>
      <c r="M11" s="190">
        <v>0</v>
      </c>
      <c r="N11" s="190">
        <v>0</v>
      </c>
      <c r="O11" s="190">
        <v>0</v>
      </c>
      <c r="P11" s="193">
        <v>0</v>
      </c>
      <c r="Q11" s="290">
        <f t="shared" si="3"/>
        <v>59831</v>
      </c>
      <c r="R11" s="50"/>
      <c r="S11" s="292" t="s">
        <v>146</v>
      </c>
      <c r="T11" s="958">
        <f>O50</f>
        <v>0</v>
      </c>
      <c r="U11" s="948"/>
      <c r="V11" s="980">
        <f>O51</f>
        <v>0</v>
      </c>
      <c r="W11" s="958"/>
      <c r="X11" s="948"/>
      <c r="Y11" s="980">
        <f>Q49</f>
        <v>0</v>
      </c>
      <c r="Z11" s="958"/>
      <c r="AA11" s="948"/>
      <c r="AB11" s="980">
        <f>T11+V11+Y11</f>
        <v>0</v>
      </c>
      <c r="AC11" s="948"/>
      <c r="AD11" s="941">
        <f>AD9-AB11</f>
        <v>776738</v>
      </c>
      <c r="AE11" s="942"/>
      <c r="AF11" s="943"/>
      <c r="AG11" s="17"/>
    </row>
    <row r="12" spans="1:33" ht="19.5" customHeight="1">
      <c r="A12" s="187">
        <v>4</v>
      </c>
      <c r="B12" s="286">
        <v>42522</v>
      </c>
      <c r="C12" s="192">
        <f>C11</f>
        <v>25460</v>
      </c>
      <c r="D12" s="190">
        <f t="shared" si="4"/>
        <v>31825</v>
      </c>
      <c r="E12" s="191">
        <f t="shared" si="0"/>
        <v>5729</v>
      </c>
      <c r="F12" s="190">
        <f t="shared" si="1"/>
        <v>2546</v>
      </c>
      <c r="G12" s="192">
        <f t="shared" si="5"/>
        <v>0</v>
      </c>
      <c r="H12" s="192">
        <f t="shared" si="5"/>
        <v>0</v>
      </c>
      <c r="I12" s="192">
        <v>0</v>
      </c>
      <c r="J12" s="190">
        <v>0</v>
      </c>
      <c r="K12" s="190">
        <f t="shared" si="2"/>
        <v>0</v>
      </c>
      <c r="L12" s="190">
        <v>0</v>
      </c>
      <c r="M12" s="190">
        <v>0</v>
      </c>
      <c r="N12" s="190">
        <v>0</v>
      </c>
      <c r="O12" s="190">
        <v>0</v>
      </c>
      <c r="P12" s="193">
        <v>0</v>
      </c>
      <c r="Q12" s="290">
        <f t="shared" si="3"/>
        <v>59831</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26230</v>
      </c>
      <c r="D13" s="190">
        <f t="shared" si="4"/>
        <v>32788</v>
      </c>
      <c r="E13" s="191">
        <f t="shared" si="0"/>
        <v>5902</v>
      </c>
      <c r="F13" s="190">
        <f t="shared" si="1"/>
        <v>2623</v>
      </c>
      <c r="G13" s="192">
        <f t="shared" si="5"/>
        <v>0</v>
      </c>
      <c r="H13" s="192">
        <f t="shared" si="5"/>
        <v>0</v>
      </c>
      <c r="I13" s="192">
        <v>0</v>
      </c>
      <c r="J13" s="190">
        <v>0</v>
      </c>
      <c r="K13" s="190">
        <f t="shared" si="2"/>
        <v>0</v>
      </c>
      <c r="L13" s="190">
        <v>0</v>
      </c>
      <c r="M13" s="190">
        <v>0</v>
      </c>
      <c r="N13" s="190">
        <v>0</v>
      </c>
      <c r="O13" s="190">
        <v>0</v>
      </c>
      <c r="P13" s="193">
        <v>0</v>
      </c>
      <c r="Q13" s="290">
        <f t="shared" si="3"/>
        <v>61641</v>
      </c>
      <c r="R13" s="70"/>
      <c r="S13" s="991">
        <f>O52</f>
        <v>0</v>
      </c>
      <c r="T13" s="948"/>
      <c r="U13" s="980">
        <f>O53</f>
        <v>0</v>
      </c>
      <c r="V13" s="948"/>
      <c r="W13" s="980">
        <f>O54</f>
        <v>0</v>
      </c>
      <c r="X13" s="948"/>
      <c r="Y13" s="980">
        <f>O55</f>
        <v>0</v>
      </c>
      <c r="Z13" s="958"/>
      <c r="AA13" s="958"/>
      <c r="AB13" s="951">
        <f>SUM(S13:AA13)</f>
        <v>0</v>
      </c>
      <c r="AC13" s="951"/>
      <c r="AD13" s="941">
        <f>AD11+AB13</f>
        <v>776738</v>
      </c>
      <c r="AE13" s="965"/>
      <c r="AF13" s="966"/>
      <c r="AG13" s="17"/>
    </row>
    <row r="14" spans="1:33" ht="19.5" customHeight="1">
      <c r="A14" s="187">
        <v>6</v>
      </c>
      <c r="B14" s="286">
        <v>42583</v>
      </c>
      <c r="C14" s="192">
        <f t="shared" ref="C14:C20" si="6">C13</f>
        <v>26230</v>
      </c>
      <c r="D14" s="190">
        <f>ROUND(C14*125%,0)</f>
        <v>32788</v>
      </c>
      <c r="E14" s="191">
        <f t="shared" si="0"/>
        <v>5902</v>
      </c>
      <c r="F14" s="190">
        <f t="shared" si="1"/>
        <v>2623</v>
      </c>
      <c r="G14" s="192">
        <f t="shared" si="5"/>
        <v>0</v>
      </c>
      <c r="H14" s="192">
        <f t="shared" si="5"/>
        <v>0</v>
      </c>
      <c r="I14" s="192">
        <v>0</v>
      </c>
      <c r="J14" s="192">
        <f>ROUND(C13*6%,0)*3</f>
        <v>4722</v>
      </c>
      <c r="K14" s="190">
        <f t="shared" si="2"/>
        <v>472</v>
      </c>
      <c r="L14" s="190">
        <v>0</v>
      </c>
      <c r="M14" s="190">
        <v>0</v>
      </c>
      <c r="N14" s="190">
        <v>0</v>
      </c>
      <c r="O14" s="190">
        <v>0</v>
      </c>
      <c r="P14" s="193">
        <v>0</v>
      </c>
      <c r="Q14" s="290">
        <f t="shared" si="3"/>
        <v>66363</v>
      </c>
      <c r="R14" s="50"/>
      <c r="S14" s="954" t="s">
        <v>19</v>
      </c>
      <c r="T14" s="833"/>
      <c r="U14" s="833"/>
      <c r="V14" s="833"/>
      <c r="W14" s="833"/>
      <c r="X14" s="833"/>
      <c r="Y14" s="833"/>
      <c r="Z14" s="833"/>
      <c r="AA14" s="951">
        <f>I55</f>
        <v>0</v>
      </c>
      <c r="AB14" s="951"/>
      <c r="AC14" s="951"/>
      <c r="AD14" s="941">
        <f>AD13+AA14</f>
        <v>776738</v>
      </c>
      <c r="AE14" s="942"/>
      <c r="AF14" s="943"/>
      <c r="AG14" s="17"/>
    </row>
    <row r="15" spans="1:33" ht="19.5" customHeight="1">
      <c r="A15" s="187">
        <v>7</v>
      </c>
      <c r="B15" s="286">
        <v>42614</v>
      </c>
      <c r="C15" s="192">
        <f t="shared" si="6"/>
        <v>26230</v>
      </c>
      <c r="D15" s="190">
        <f t="shared" si="4"/>
        <v>32788</v>
      </c>
      <c r="E15" s="191">
        <f t="shared" si="0"/>
        <v>5902</v>
      </c>
      <c r="F15" s="190">
        <f t="shared" si="1"/>
        <v>2623</v>
      </c>
      <c r="G15" s="192">
        <f t="shared" si="5"/>
        <v>0</v>
      </c>
      <c r="H15" s="192">
        <f t="shared" si="5"/>
        <v>0</v>
      </c>
      <c r="I15" s="192">
        <v>0</v>
      </c>
      <c r="J15" s="192">
        <v>0</v>
      </c>
      <c r="K15" s="190">
        <f t="shared" si="2"/>
        <v>0</v>
      </c>
      <c r="L15" s="190">
        <v>0</v>
      </c>
      <c r="M15" s="190">
        <v>0</v>
      </c>
      <c r="N15" s="190">
        <v>0</v>
      </c>
      <c r="O15" s="190">
        <v>0</v>
      </c>
      <c r="P15" s="193">
        <v>0</v>
      </c>
      <c r="Q15" s="290">
        <f t="shared" si="3"/>
        <v>61641</v>
      </c>
      <c r="R15" s="50"/>
      <c r="S15" s="992" t="s">
        <v>20</v>
      </c>
      <c r="T15" s="993"/>
      <c r="U15" s="993"/>
      <c r="V15" s="993"/>
      <c r="W15" s="993"/>
      <c r="X15" s="993"/>
      <c r="Y15" s="993"/>
      <c r="Z15" s="993"/>
      <c r="AA15" s="993"/>
      <c r="AB15" s="993"/>
      <c r="AC15" s="993"/>
      <c r="AD15" s="941">
        <f>AD14</f>
        <v>776738</v>
      </c>
      <c r="AE15" s="942"/>
      <c r="AF15" s="943"/>
      <c r="AG15" s="17"/>
    </row>
    <row r="16" spans="1:33" ht="19.5" customHeight="1">
      <c r="A16" s="187">
        <v>8</v>
      </c>
      <c r="B16" s="286">
        <v>42644</v>
      </c>
      <c r="C16" s="192">
        <f t="shared" si="6"/>
        <v>26230</v>
      </c>
      <c r="D16" s="190">
        <f>ROUND(C16*131%,0)</f>
        <v>34361</v>
      </c>
      <c r="E16" s="191">
        <f t="shared" si="0"/>
        <v>6059</v>
      </c>
      <c r="F16" s="190">
        <f t="shared" si="1"/>
        <v>2623</v>
      </c>
      <c r="G16" s="192">
        <f t="shared" si="5"/>
        <v>0</v>
      </c>
      <c r="H16" s="192">
        <f t="shared" si="5"/>
        <v>0</v>
      </c>
      <c r="I16" s="192">
        <v>0</v>
      </c>
      <c r="J16" s="192">
        <v>0</v>
      </c>
      <c r="K16" s="190">
        <f t="shared" si="2"/>
        <v>0</v>
      </c>
      <c r="L16" s="190">
        <v>0</v>
      </c>
      <c r="M16" s="190">
        <v>0</v>
      </c>
      <c r="N16" s="190">
        <v>0</v>
      </c>
      <c r="O16" s="190">
        <v>0</v>
      </c>
      <c r="P16" s="193">
        <v>0</v>
      </c>
      <c r="Q16" s="290">
        <f t="shared" si="3"/>
        <v>63214</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26230</v>
      </c>
      <c r="D17" s="190">
        <f>ROUND(C17*131%,0)</f>
        <v>34361</v>
      </c>
      <c r="E17" s="191">
        <f t="shared" si="0"/>
        <v>6059</v>
      </c>
      <c r="F17" s="190">
        <f t="shared" si="1"/>
        <v>2623</v>
      </c>
      <c r="G17" s="192">
        <f t="shared" si="5"/>
        <v>0</v>
      </c>
      <c r="H17" s="192">
        <f t="shared" si="5"/>
        <v>0</v>
      </c>
      <c r="I17" s="192">
        <v>0</v>
      </c>
      <c r="J17" s="192">
        <v>0</v>
      </c>
      <c r="K17" s="190">
        <f t="shared" si="2"/>
        <v>0</v>
      </c>
      <c r="L17" s="190">
        <v>0</v>
      </c>
      <c r="M17" s="190">
        <v>0</v>
      </c>
      <c r="N17" s="190">
        <v>0</v>
      </c>
      <c r="O17" s="190">
        <v>0</v>
      </c>
      <c r="P17" s="193">
        <v>0</v>
      </c>
      <c r="Q17" s="290">
        <f t="shared" si="3"/>
        <v>63214</v>
      </c>
      <c r="R17" s="50"/>
      <c r="S17" s="954" t="s">
        <v>157</v>
      </c>
      <c r="T17" s="833"/>
      <c r="U17" s="833"/>
      <c r="V17" s="951">
        <f>IF('Emp.-Detail'!F20="NO",F37,0)</f>
        <v>9306</v>
      </c>
      <c r="W17" s="951"/>
      <c r="X17" s="833" t="s">
        <v>167</v>
      </c>
      <c r="Y17" s="833"/>
      <c r="Z17" s="833"/>
      <c r="AA17" s="833"/>
      <c r="AB17" s="833"/>
      <c r="AC17" s="833"/>
      <c r="AD17" s="831">
        <f>F45</f>
        <v>0</v>
      </c>
      <c r="AE17" s="831"/>
      <c r="AF17" s="955"/>
      <c r="AG17" s="17"/>
    </row>
    <row r="18" spans="1:34" ht="19.5" customHeight="1">
      <c r="A18" s="187">
        <v>10</v>
      </c>
      <c r="B18" s="286">
        <v>42705</v>
      </c>
      <c r="C18" s="192">
        <f t="shared" si="6"/>
        <v>26230</v>
      </c>
      <c r="D18" s="190">
        <f>ROUND(C18*131%,0)</f>
        <v>34361</v>
      </c>
      <c r="E18" s="191">
        <f t="shared" si="0"/>
        <v>6059</v>
      </c>
      <c r="F18" s="190">
        <f t="shared" si="1"/>
        <v>2623</v>
      </c>
      <c r="G18" s="192">
        <f t="shared" si="5"/>
        <v>0</v>
      </c>
      <c r="H18" s="192">
        <f t="shared" si="5"/>
        <v>0</v>
      </c>
      <c r="I18" s="192">
        <v>0</v>
      </c>
      <c r="J18" s="192">
        <v>0</v>
      </c>
      <c r="K18" s="190">
        <f t="shared" si="2"/>
        <v>0</v>
      </c>
      <c r="L18" s="190">
        <v>0</v>
      </c>
      <c r="M18" s="190">
        <v>0</v>
      </c>
      <c r="N18" s="190">
        <v>0</v>
      </c>
      <c r="O18" s="190">
        <v>0</v>
      </c>
      <c r="P18" s="193">
        <v>0</v>
      </c>
      <c r="Q18" s="290">
        <f t="shared" si="3"/>
        <v>63214</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26230</v>
      </c>
      <c r="D19" s="190">
        <f>ROUND(C19*131%,0)</f>
        <v>34361</v>
      </c>
      <c r="E19" s="191">
        <f t="shared" si="0"/>
        <v>6059</v>
      </c>
      <c r="F19" s="190">
        <f t="shared" si="1"/>
        <v>2623</v>
      </c>
      <c r="G19" s="192">
        <f t="shared" si="5"/>
        <v>0</v>
      </c>
      <c r="H19" s="192">
        <f t="shared" si="5"/>
        <v>0</v>
      </c>
      <c r="I19" s="192">
        <v>0</v>
      </c>
      <c r="J19" s="192">
        <v>0</v>
      </c>
      <c r="K19" s="190">
        <f t="shared" si="2"/>
        <v>0</v>
      </c>
      <c r="L19" s="190">
        <v>0</v>
      </c>
      <c r="M19" s="190">
        <v>0</v>
      </c>
      <c r="N19" s="190">
        <v>0</v>
      </c>
      <c r="O19" s="190">
        <v>0</v>
      </c>
      <c r="P19" s="193">
        <v>0</v>
      </c>
      <c r="Q19" s="290">
        <f t="shared" si="3"/>
        <v>63214</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26230</v>
      </c>
      <c r="D20" s="190">
        <f>ROUND(C20*131%,0)</f>
        <v>34361</v>
      </c>
      <c r="E20" s="191">
        <f t="shared" si="0"/>
        <v>6059</v>
      </c>
      <c r="F20" s="190">
        <f t="shared" si="1"/>
        <v>2623</v>
      </c>
      <c r="G20" s="192">
        <f t="shared" si="5"/>
        <v>0</v>
      </c>
      <c r="H20" s="192">
        <f t="shared" si="5"/>
        <v>0</v>
      </c>
      <c r="I20" s="192">
        <v>0</v>
      </c>
      <c r="J20" s="192">
        <v>0</v>
      </c>
      <c r="K20" s="190">
        <f t="shared" si="2"/>
        <v>0</v>
      </c>
      <c r="L20" s="190">
        <v>0</v>
      </c>
      <c r="M20" s="190">
        <v>0</v>
      </c>
      <c r="N20" s="190">
        <v>0</v>
      </c>
      <c r="O20" s="190">
        <v>0</v>
      </c>
      <c r="P20" s="193">
        <v>0</v>
      </c>
      <c r="Q20" s="290">
        <f t="shared" si="3"/>
        <v>63214</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311680</v>
      </c>
      <c r="D21" s="287">
        <f>SUM(D9:D20)</f>
        <v>395941</v>
      </c>
      <c r="E21" s="288">
        <f>SUM(E9:E20)</f>
        <v>70764</v>
      </c>
      <c r="F21" s="287">
        <f>SUM(F9:F20)</f>
        <v>31168</v>
      </c>
      <c r="G21" s="287">
        <f t="shared" si="7"/>
        <v>0</v>
      </c>
      <c r="H21" s="287">
        <f>SUM(H9:H20)</f>
        <v>0</v>
      </c>
      <c r="I21" s="287">
        <f t="shared" si="7"/>
        <v>4584</v>
      </c>
      <c r="J21" s="287">
        <f t="shared" si="7"/>
        <v>4722</v>
      </c>
      <c r="K21" s="287">
        <f>SUM(K9:K20)</f>
        <v>930</v>
      </c>
      <c r="L21" s="287">
        <f t="shared" si="7"/>
        <v>28643</v>
      </c>
      <c r="M21" s="287">
        <f t="shared" si="7"/>
        <v>0</v>
      </c>
      <c r="N21" s="287">
        <f t="shared" si="7"/>
        <v>0</v>
      </c>
      <c r="O21" s="287">
        <f>SUM(O9:O20)</f>
        <v>0</v>
      </c>
      <c r="P21" s="289">
        <f>SUM(P9:P20)</f>
        <v>0</v>
      </c>
      <c r="Q21" s="84">
        <f>SUM(Q9:Q20)</f>
        <v>776738</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IF('Emp.-Detail'!F20="yes",E9)+IF('Emp.-Detail'!F20="NO",0)</f>
        <v>0</v>
      </c>
      <c r="D25" s="192">
        <f>IF('Emp.-Detail'!F20="YES",K9)+IF('Emp.-Detail'!F20="NO",I9,0)</f>
        <v>4584</v>
      </c>
      <c r="E25" s="195"/>
      <c r="F25" s="287">
        <f>SUM(C25:D25)</f>
        <v>4584</v>
      </c>
      <c r="G25" s="192">
        <v>0</v>
      </c>
      <c r="H25" s="194">
        <v>0</v>
      </c>
      <c r="I25" s="192">
        <v>3000</v>
      </c>
      <c r="J25" s="195">
        <v>0</v>
      </c>
      <c r="K25" s="195"/>
      <c r="L25" s="195">
        <v>0</v>
      </c>
      <c r="M25" s="196">
        <v>595</v>
      </c>
      <c r="N25" s="196">
        <v>0</v>
      </c>
      <c r="O25" s="196">
        <v>2000</v>
      </c>
      <c r="P25" s="192">
        <v>0</v>
      </c>
      <c r="Q25" s="297">
        <f>SUM(F25:P25)</f>
        <v>10179</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IF('Emp.-Detail'!F20="yes",E10)+IF('Emp.-Detail'!F20="NO",0)</f>
        <v>0</v>
      </c>
      <c r="D26" s="192">
        <f>IF('Emp.-Detail'!F20="YES",K10)+IF('Emp.-Detail'!F20="NO",I10,0)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2000</v>
      </c>
      <c r="P26" s="194">
        <f>'Emp.-Detail'!AB9+'Emp.-Detail'!AB9*14.5%</f>
        <v>251.9</v>
      </c>
      <c r="Q26" s="297">
        <f t="shared" ref="Q26:Q36" si="11">SUM(F26:P26)</f>
        <v>5846.9</v>
      </c>
      <c r="R26" s="50"/>
      <c r="S26" s="1089" t="s">
        <v>279</v>
      </c>
      <c r="T26" s="1090"/>
      <c r="U26" s="1090"/>
      <c r="V26" s="1090"/>
      <c r="W26" s="1090"/>
      <c r="X26" s="1090"/>
      <c r="Y26" s="1090"/>
      <c r="Z26" s="1090"/>
      <c r="AA26" s="1091"/>
      <c r="AB26" s="942">
        <f>SUM(V17:V25)+SUM(AD17:AD25)</f>
        <v>45526</v>
      </c>
      <c r="AC26" s="957"/>
      <c r="AD26" s="1135">
        <f>IF(AB26&lt;=150000,AB26,150000)+AD25</f>
        <v>45526</v>
      </c>
      <c r="AE26" s="1136"/>
      <c r="AF26" s="1137"/>
      <c r="AG26" s="17"/>
    </row>
    <row r="27" spans="1:34" ht="19.5" customHeight="1">
      <c r="A27" s="187">
        <v>3</v>
      </c>
      <c r="B27" s="296">
        <f t="shared" si="8"/>
        <v>42491</v>
      </c>
      <c r="C27" s="192">
        <f>IF('Emp.-Detail'!F20="yes",E11)+IF('Emp.-Detail'!F20="NO",0)</f>
        <v>0</v>
      </c>
      <c r="D27" s="192">
        <f>IF('Emp.-Detail'!F20="YES",K11)+IF('Emp.-Detail'!F20="NO",I11,0)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2000</v>
      </c>
      <c r="P27" s="192">
        <v>0</v>
      </c>
      <c r="Q27" s="297">
        <f t="shared" si="11"/>
        <v>5595</v>
      </c>
      <c r="R27" s="50"/>
      <c r="S27" s="1085" t="s">
        <v>592</v>
      </c>
      <c r="T27" s="1086"/>
      <c r="U27" s="1086"/>
      <c r="V27" s="1086"/>
      <c r="W27" s="1086"/>
      <c r="X27" s="1086"/>
      <c r="Y27" s="1086"/>
      <c r="Z27" s="1086"/>
      <c r="AA27" s="1086"/>
      <c r="AB27" s="1087">
        <f>AB5</f>
        <v>0</v>
      </c>
      <c r="AC27" s="1088"/>
      <c r="AD27" s="831">
        <f>AD15-(AD26+AB5)</f>
        <v>731212</v>
      </c>
      <c r="AE27" s="831"/>
      <c r="AF27" s="955"/>
      <c r="AG27" s="17"/>
    </row>
    <row r="28" spans="1:34" ht="19.5" customHeight="1">
      <c r="A28" s="187">
        <v>4</v>
      </c>
      <c r="B28" s="296">
        <f t="shared" si="8"/>
        <v>42522</v>
      </c>
      <c r="C28" s="192">
        <f>IF('Emp.-Detail'!F20="yes",E12)+IF('Emp.-Detail'!F20="NO",0)</f>
        <v>0</v>
      </c>
      <c r="D28" s="192">
        <f>IF('Emp.-Detail'!F20="YES",K12)+IF('Emp.-Detail'!F20="NO",I12,0)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2000</v>
      </c>
      <c r="P28" s="192">
        <v>0</v>
      </c>
      <c r="Q28" s="297">
        <f t="shared" si="11"/>
        <v>5595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IF('Emp.-Detail'!F20="yes",E13)+IF('Emp.-Detail'!F20="NO",0)</f>
        <v>0</v>
      </c>
      <c r="D29" s="192">
        <f>IF('Emp.-Detail'!F20="YES",K13)+IF('Emp.-Detail'!F20="NO",I13,0)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2000</v>
      </c>
      <c r="P29" s="192">
        <v>0</v>
      </c>
      <c r="Q29" s="297">
        <f t="shared" si="11"/>
        <v>5595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IF('Emp.-Detail'!F20="yes",E14)+IF('Emp.-Detail'!F20="NO",0)</f>
        <v>0</v>
      </c>
      <c r="D30" s="192">
        <f>IF('Emp.-Detail'!F20="YES",K14)+IF('Emp.-Detail'!F20="NO",J14,0)</f>
        <v>4722</v>
      </c>
      <c r="E30" s="195"/>
      <c r="F30" s="287">
        <f t="shared" si="9"/>
        <v>4722</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2000</v>
      </c>
      <c r="P30" s="192">
        <v>0</v>
      </c>
      <c r="Q30" s="297">
        <f t="shared" si="11"/>
        <v>10317</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IF('Emp.-Detail'!F20="yes",E15)+IF('Emp.-Detail'!F20="NO",0)</f>
        <v>0</v>
      </c>
      <c r="D31" s="192">
        <f>IF('Emp.-Detail'!F20="YES",K15)+IF('Emp.-Detail'!F20="NO",J15,0)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2000</v>
      </c>
      <c r="P31" s="192">
        <v>0</v>
      </c>
      <c r="Q31" s="297">
        <f t="shared" si="11"/>
        <v>5595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IF('Emp.-Detail'!F20="yes",E16)+IF('Emp.-Detail'!F20="NO",0)</f>
        <v>0</v>
      </c>
      <c r="D32" s="192">
        <f>IF('Emp.-Detail'!F20="YES",K16)+IF('Emp.-Detail'!F20="NO",J16,0)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2000</v>
      </c>
      <c r="P32" s="192">
        <v>0</v>
      </c>
      <c r="Q32" s="297">
        <f t="shared" si="11"/>
        <v>5595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IF('Emp.-Detail'!F20="yes",E17)+IF('Emp.-Detail'!F20="NO",0)</f>
        <v>0</v>
      </c>
      <c r="D33" s="192">
        <f>IF('Emp.-Detail'!F20="YES",K17)+IF('Emp.-Detail'!F20="NO",J17,0)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2000</v>
      </c>
      <c r="P33" s="192">
        <v>0</v>
      </c>
      <c r="Q33" s="297">
        <f t="shared" si="11"/>
        <v>5595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IF('Emp.-Detail'!F20="yes",E18)+IF('Emp.-Detail'!F20="NO",0)</f>
        <v>0</v>
      </c>
      <c r="D34" s="192">
        <f>IF('Emp.-Detail'!F20="YES",K18)+IF('Emp.-Detail'!F20="NO",J18,0)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2000</v>
      </c>
      <c r="P34" s="192">
        <v>0</v>
      </c>
      <c r="Q34" s="297">
        <f t="shared" si="11"/>
        <v>5595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IF('Emp.-Detail'!F20="yes",E19)+IF('Emp.-Detail'!F20="NO",0)</f>
        <v>0</v>
      </c>
      <c r="D35" s="192">
        <f>IF('Emp.-Detail'!F20="YES",K19)+IF('Emp.-Detail'!F20="NO",J19,0)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2000</v>
      </c>
      <c r="P35" s="192">
        <v>0</v>
      </c>
      <c r="Q35" s="297">
        <f t="shared" si="11"/>
        <v>5595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IF('Emp.-Detail'!F20="yes",E20)+IF('Emp.-Detail'!F20="NO",0)</f>
        <v>0</v>
      </c>
      <c r="D36" s="192">
        <f>IF('Emp.-Detail'!F20="YES",K20)+IF('Emp.-Detail'!F20="NO",J20,0)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2000</v>
      </c>
      <c r="P36" s="192">
        <v>0</v>
      </c>
      <c r="Q36" s="297">
        <f t="shared" si="11"/>
        <v>5595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9306</v>
      </c>
      <c r="E37" s="306"/>
      <c r="F37" s="307">
        <f t="shared" si="9"/>
        <v>9306</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24000</v>
      </c>
      <c r="P37" s="288">
        <f t="shared" si="12"/>
        <v>251.9</v>
      </c>
      <c r="Q37" s="305">
        <f t="shared" si="12"/>
        <v>76697.899999999994</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776738</v>
      </c>
      <c r="D38" s="860"/>
      <c r="E38" s="309"/>
      <c r="F38" s="310"/>
      <c r="G38" s="1001" t="s">
        <v>13</v>
      </c>
      <c r="H38" s="1001"/>
      <c r="I38" s="1001"/>
      <c r="J38" s="860">
        <f>Q37</f>
        <v>76697.899999999994</v>
      </c>
      <c r="K38" s="860"/>
      <c r="L38" s="860"/>
      <c r="M38" s="310"/>
      <c r="N38" s="998" t="s">
        <v>15</v>
      </c>
      <c r="O38" s="998"/>
      <c r="P38" s="860">
        <f>Q21-Q37</f>
        <v>700040.1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731212</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731210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71242</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71242</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1425</v>
      </c>
      <c r="V43" s="949"/>
      <c r="W43" s="949"/>
      <c r="X43" s="1067" t="s">
        <v>84</v>
      </c>
      <c r="Y43" s="1067"/>
      <c r="Z43" s="1067"/>
      <c r="AA43" s="953">
        <f>ROUND((AD42*1%),0)</f>
        <v>712</v>
      </c>
      <c r="AB43" s="953"/>
      <c r="AC43" s="953"/>
      <c r="AD43" s="951">
        <f>U43+AA43</f>
        <v>2137</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73379</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IF('Emp.-Detail'!F20="NO",0,ROUND(E21+K21,0))</f>
        <v>0</v>
      </c>
      <c r="Q46" s="943"/>
      <c r="R46" s="22"/>
      <c r="S46" s="1071" t="s">
        <v>87</v>
      </c>
      <c r="T46" s="1072"/>
      <c r="U46" s="1072"/>
      <c r="V46" s="1072"/>
      <c r="W46" s="1072"/>
      <c r="X46" s="1072"/>
      <c r="Y46" s="1072"/>
      <c r="Z46" s="1072"/>
      <c r="AA46" s="1072"/>
      <c r="AB46" s="1072"/>
      <c r="AC46" s="1072"/>
      <c r="AD46" s="796">
        <f>AD44-AD45</f>
        <v>73379</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49379</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RANVEER SINGH</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776738</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776738</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776738</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RANVEER SINGH</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ABKPM3872F</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9509114321</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776738</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'Emp.-Detail'!O20</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9306</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211192</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187835</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188069</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189642</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776738</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45526</v>
      </c>
      <c r="AC81" s="1113"/>
      <c r="AD81" s="773">
        <f>AD26</f>
        <v>45526</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'Emp.-Detail'!N20</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'Emp.-Detail'!N20</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'Emp.-Detail'!N20</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'Emp.-Detail'!J20</f>
        <v>0</v>
      </c>
      <c r="C87" s="788"/>
      <c r="D87" s="776"/>
      <c r="E87" s="257"/>
      <c r="F87" s="1233" t="str">
        <f>'Emp.-Detail'!K20</f>
        <v>0</v>
      </c>
      <c r="G87" s="791"/>
      <c r="H87" s="791"/>
      <c r="I87" s="792"/>
      <c r="J87" s="810" t="str">
        <f>'Emp.-Detail'!L20</f>
        <v>00/00/0000</v>
      </c>
      <c r="K87" s="811"/>
      <c r="L87" s="811"/>
      <c r="M87" s="812"/>
      <c r="N87" s="1233" t="str">
        <f>'Emp.-Detail'!M20</f>
        <v>00</v>
      </c>
      <c r="O87" s="792"/>
      <c r="P87" s="793" t="str">
        <f>'Emp.-Detail'!N20</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45526</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731210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71242</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2137</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73379</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73379</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776738</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776738</v>
      </c>
      <c r="P104" s="776"/>
      <c r="Q104" s="258">
        <f>O104</f>
        <v>776738</v>
      </c>
      <c r="R104" s="235"/>
      <c r="S104" s="254"/>
      <c r="T104" s="229" t="str">
        <f>'DDO '!L10</f>
        <v>PRINCIPAL</v>
      </c>
      <c r="U104" s="229"/>
      <c r="V104" s="780" t="s">
        <v>51</v>
      </c>
      <c r="W104" s="780"/>
      <c r="X104" s="780"/>
      <c r="Y104" s="780"/>
      <c r="Z104" s="770">
        <f>AD100</f>
        <v>73379</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SEVENTY  THREE  Thousand  THREE  Hundred  SEVENTY  NINE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776738</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776738</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776738</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6"/>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O52:P52"/>
    <mergeCell ref="S52:AC52"/>
    <mergeCell ref="AD52:AF52"/>
    <mergeCell ref="O50:P50"/>
    <mergeCell ref="Q50:Q55"/>
    <mergeCell ref="S50:AC50"/>
    <mergeCell ref="AD50:AF50"/>
    <mergeCell ref="A51:B51"/>
    <mergeCell ref="C51:D51"/>
    <mergeCell ref="I51:J51"/>
    <mergeCell ref="L51:N51"/>
    <mergeCell ref="O51:P51"/>
    <mergeCell ref="F50:H50"/>
    <mergeCell ref="F51:H51"/>
    <mergeCell ref="F52:J52"/>
    <mergeCell ref="A53:H53"/>
    <mergeCell ref="A54:H54"/>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A50:B50"/>
    <mergeCell ref="C50:D50"/>
    <mergeCell ref="I50:J50"/>
    <mergeCell ref="L50:N50"/>
    <mergeCell ref="S51:AC51"/>
    <mergeCell ref="AD51:AF51"/>
    <mergeCell ref="A52:B52"/>
    <mergeCell ref="C52:D52"/>
    <mergeCell ref="L52:N52"/>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98:Q98"/>
    <mergeCell ref="S98:AC98"/>
    <mergeCell ref="AD98:AE98"/>
    <mergeCell ref="A99:Q99"/>
    <mergeCell ref="S99:AC99"/>
    <mergeCell ref="AD99:AE99"/>
    <mergeCell ref="AD96:AE96"/>
    <mergeCell ref="A97:J97"/>
    <mergeCell ref="L97:M97"/>
    <mergeCell ref="N97:Q97"/>
    <mergeCell ref="S97:AC97"/>
    <mergeCell ref="AD97:AE97"/>
    <mergeCell ref="A100:L100"/>
    <mergeCell ref="M100:N100"/>
    <mergeCell ref="O100:P103"/>
    <mergeCell ref="Q100:Q103"/>
    <mergeCell ref="S100:AC100"/>
    <mergeCell ref="AD100:AE100"/>
    <mergeCell ref="A101:L101"/>
    <mergeCell ref="M101:N101"/>
    <mergeCell ref="S101:AE101"/>
    <mergeCell ref="A102:L102"/>
    <mergeCell ref="M110:P110"/>
    <mergeCell ref="S110:T110"/>
    <mergeCell ref="U110:W110"/>
    <mergeCell ref="D111:I111"/>
    <mergeCell ref="M102:N102"/>
    <mergeCell ref="S102:AE102"/>
    <mergeCell ref="A103:L103"/>
    <mergeCell ref="M103:N103"/>
    <mergeCell ref="T103:V103"/>
    <mergeCell ref="W103:Y103"/>
    <mergeCell ref="Z103:AB103"/>
    <mergeCell ref="AC103:AE103"/>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A1:D1"/>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J111:L111"/>
    <mergeCell ref="M111:N111"/>
    <mergeCell ref="A104:L104"/>
    <mergeCell ref="M104:N107"/>
    <mergeCell ref="O104:P10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7.xml><?xml version="1.0" encoding="utf-8"?>
<worksheet xmlns="http://schemas.openxmlformats.org/spreadsheetml/2006/main" xmlns:r="http://schemas.openxmlformats.org/officeDocument/2006/relationships">
  <dimension ref="A1:AJ150"/>
  <sheetViews>
    <sheetView view="pageBreakPreview" topLeftCell="A23" zoomScaleSheetLayoutView="100" workbookViewId="0">
      <selection activeCell="N25" sqref="N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VIJAY SANKAR SHARAMA</v>
      </c>
      <c r="T3" s="538"/>
      <c r="U3" s="538"/>
      <c r="V3" s="538"/>
      <c r="W3" s="949" t="str">
        <f>P4</f>
        <v>Sr. Teacher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'Emp.-Detail'!B21</f>
        <v>VIJAY SANKAR SHARAMA</v>
      </c>
      <c r="E4" s="949"/>
      <c r="F4" s="949"/>
      <c r="G4" s="949"/>
      <c r="H4" s="949"/>
      <c r="I4" s="854"/>
      <c r="J4" s="1185">
        <f>'Emp.-Detail'!A21</f>
        <v>13</v>
      </c>
      <c r="K4" s="1186"/>
      <c r="L4" s="1187"/>
      <c r="M4" s="982" t="s">
        <v>8</v>
      </c>
      <c r="N4" s="833"/>
      <c r="O4" s="833"/>
      <c r="P4" s="949" t="str">
        <f>'Emp.-Detail'!C21</f>
        <v>Sr. Teacher</v>
      </c>
      <c r="Q4" s="950"/>
      <c r="R4" s="50"/>
      <c r="S4" s="1250" t="str">
        <f>D5</f>
        <v>ADUPS1283L</v>
      </c>
      <c r="T4" s="538"/>
      <c r="U4" s="538"/>
      <c r="V4" s="538"/>
      <c r="W4" s="959" t="str">
        <f>'Emp.-Detail'!H21</f>
        <v>61159086959</v>
      </c>
      <c r="X4" s="949"/>
      <c r="Y4" s="949"/>
      <c r="Z4" s="949"/>
      <c r="AA4" s="949" t="str">
        <f>'Emp.-Detail'!I21</f>
        <v>SBBJ, Sujangarh</v>
      </c>
      <c r="AB4" s="949"/>
      <c r="AC4" s="949"/>
      <c r="AD4" s="949"/>
      <c r="AE4" s="949"/>
      <c r="AF4" s="950"/>
      <c r="AG4" s="17"/>
    </row>
    <row r="5" spans="1:33" ht="19.5" customHeight="1" thickBot="1">
      <c r="A5" s="954" t="s">
        <v>135</v>
      </c>
      <c r="B5" s="833"/>
      <c r="C5" s="833"/>
      <c r="D5" s="949" t="str">
        <f>'Emp.-Detail'!D21</f>
        <v>ADUPS1283L</v>
      </c>
      <c r="E5" s="949"/>
      <c r="F5" s="949"/>
      <c r="G5" s="949"/>
      <c r="H5" s="949"/>
      <c r="I5" s="854"/>
      <c r="J5" s="1188"/>
      <c r="K5" s="1189"/>
      <c r="L5" s="1190"/>
      <c r="M5" s="982" t="s">
        <v>137</v>
      </c>
      <c r="N5" s="833"/>
      <c r="O5" s="833"/>
      <c r="P5" s="959">
        <f>'Emp.-Detail'!G21</f>
        <v>0</v>
      </c>
      <c r="Q5" s="950"/>
      <c r="R5" s="50"/>
      <c r="S5" s="974" t="s">
        <v>203</v>
      </c>
      <c r="T5" s="975"/>
      <c r="U5" s="975"/>
      <c r="V5" s="975"/>
      <c r="W5" s="951">
        <f>SUM(Q9:Q20)</f>
        <v>742140</v>
      </c>
      <c r="X5" s="951"/>
      <c r="Y5" s="1248" t="s">
        <v>202</v>
      </c>
      <c r="Z5" s="1249"/>
      <c r="AA5" s="1088"/>
      <c r="AB5" s="951">
        <f>P46</f>
        <v>0</v>
      </c>
      <c r="AC5" s="949"/>
      <c r="AD5" s="941">
        <f>W5+AB5</f>
        <v>742140</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742140</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742140</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742140</v>
      </c>
      <c r="AE8" s="942"/>
      <c r="AF8" s="943"/>
      <c r="AG8" s="17"/>
    </row>
    <row r="9" spans="1:33" ht="19.5" customHeight="1">
      <c r="A9" s="285">
        <v>1</v>
      </c>
      <c r="B9" s="286">
        <v>42430</v>
      </c>
      <c r="C9" s="190">
        <f>'Emp.-Detail'!E21</f>
        <v>25260</v>
      </c>
      <c r="D9" s="190">
        <f>ROUND(C9*119%,0)</f>
        <v>30059</v>
      </c>
      <c r="E9" s="191">
        <f>ROUND((C9+D9)*10%,0)</f>
        <v>5532</v>
      </c>
      <c r="F9" s="190">
        <f>ROUND(C9*10%,0)</f>
        <v>2526</v>
      </c>
      <c r="G9" s="190">
        <v>0</v>
      </c>
      <c r="H9" s="190">
        <v>0</v>
      </c>
      <c r="I9" s="192">
        <f>ROUND(C9*6%,0)*3</f>
        <v>4548</v>
      </c>
      <c r="J9" s="190">
        <v>0</v>
      </c>
      <c r="K9" s="190">
        <f>ROUND((I9+J9)*10%,0)</f>
        <v>455</v>
      </c>
      <c r="L9" s="190">
        <v>0</v>
      </c>
      <c r="M9" s="190">
        <v>0</v>
      </c>
      <c r="N9" s="190">
        <v>0</v>
      </c>
      <c r="O9" s="190">
        <v>0</v>
      </c>
      <c r="P9" s="193">
        <v>0</v>
      </c>
      <c r="Q9" s="290">
        <f>C9+D9+F9+G9+H9+I9+J9+L9+M9+N9+O9</f>
        <v>62393</v>
      </c>
      <c r="R9" s="282"/>
      <c r="S9" s="984" t="s">
        <v>144</v>
      </c>
      <c r="T9" s="985"/>
      <c r="U9" s="985"/>
      <c r="V9" s="985"/>
      <c r="W9" s="985"/>
      <c r="X9" s="985"/>
      <c r="Y9" s="985"/>
      <c r="Z9" s="971" t="s">
        <v>18</v>
      </c>
      <c r="AA9" s="971"/>
      <c r="AB9" s="967">
        <f>O49</f>
        <v>0</v>
      </c>
      <c r="AC9" s="968"/>
      <c r="AD9" s="977">
        <f>AD8+AB9</f>
        <v>742140</v>
      </c>
      <c r="AE9" s="978"/>
      <c r="AF9" s="979"/>
      <c r="AG9" s="17"/>
    </row>
    <row r="10" spans="1:33" ht="19.5" customHeight="1">
      <c r="A10" s="187">
        <v>2</v>
      </c>
      <c r="B10" s="286">
        <v>42461</v>
      </c>
      <c r="C10" s="192">
        <f>C9</f>
        <v>25260</v>
      </c>
      <c r="D10" s="190">
        <f>ROUND(C10*125%,0)</f>
        <v>31575</v>
      </c>
      <c r="E10" s="191">
        <f t="shared" ref="E10:E20" si="0">ROUND((C10+D10)*10%,0)</f>
        <v>5684</v>
      </c>
      <c r="F10" s="190">
        <f t="shared" ref="F10:F20" si="1">ROUND(C10*10%,0)</f>
        <v>2526</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59361</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25260</v>
      </c>
      <c r="D11" s="190">
        <f t="shared" ref="D11:D15" si="4">ROUND(C11*125%,0)</f>
        <v>31575</v>
      </c>
      <c r="E11" s="191">
        <f t="shared" si="0"/>
        <v>5684</v>
      </c>
      <c r="F11" s="190">
        <f t="shared" si="1"/>
        <v>2526</v>
      </c>
      <c r="G11" s="192">
        <f t="shared" ref="G11:H20" si="5">G10</f>
        <v>0</v>
      </c>
      <c r="H11" s="192">
        <f t="shared" si="5"/>
        <v>0</v>
      </c>
      <c r="I11" s="192">
        <v>0</v>
      </c>
      <c r="J11" s="190">
        <v>0</v>
      </c>
      <c r="K11" s="190">
        <f t="shared" si="2"/>
        <v>0</v>
      </c>
      <c r="L11" s="190">
        <v>0</v>
      </c>
      <c r="M11" s="190">
        <v>0</v>
      </c>
      <c r="N11" s="190">
        <v>0</v>
      </c>
      <c r="O11" s="190">
        <v>0</v>
      </c>
      <c r="P11" s="193">
        <v>0</v>
      </c>
      <c r="Q11" s="290">
        <f t="shared" si="3"/>
        <v>59361</v>
      </c>
      <c r="R11" s="50"/>
      <c r="S11" s="292" t="s">
        <v>146</v>
      </c>
      <c r="T11" s="958">
        <f>O50</f>
        <v>0</v>
      </c>
      <c r="U11" s="948"/>
      <c r="V11" s="980">
        <f>O51</f>
        <v>0</v>
      </c>
      <c r="W11" s="958"/>
      <c r="X11" s="948"/>
      <c r="Y11" s="980">
        <f>Q49</f>
        <v>0</v>
      </c>
      <c r="Z11" s="958"/>
      <c r="AA11" s="948"/>
      <c r="AB11" s="980">
        <f>T11+V11+Y11</f>
        <v>0</v>
      </c>
      <c r="AC11" s="948"/>
      <c r="AD11" s="941">
        <f>AD9-AB11</f>
        <v>742140</v>
      </c>
      <c r="AE11" s="942"/>
      <c r="AF11" s="943"/>
      <c r="AG11" s="17"/>
    </row>
    <row r="12" spans="1:33" ht="19.5" customHeight="1">
      <c r="A12" s="187">
        <v>4</v>
      </c>
      <c r="B12" s="286">
        <v>42522</v>
      </c>
      <c r="C12" s="192">
        <f>C11</f>
        <v>25260</v>
      </c>
      <c r="D12" s="190">
        <f t="shared" si="4"/>
        <v>31575</v>
      </c>
      <c r="E12" s="191">
        <f t="shared" si="0"/>
        <v>5684</v>
      </c>
      <c r="F12" s="190">
        <f t="shared" si="1"/>
        <v>2526</v>
      </c>
      <c r="G12" s="192">
        <f t="shared" si="5"/>
        <v>0</v>
      </c>
      <c r="H12" s="192">
        <f t="shared" si="5"/>
        <v>0</v>
      </c>
      <c r="I12" s="192">
        <v>0</v>
      </c>
      <c r="J12" s="190">
        <v>0</v>
      </c>
      <c r="K12" s="190">
        <f t="shared" si="2"/>
        <v>0</v>
      </c>
      <c r="L12" s="190">
        <v>0</v>
      </c>
      <c r="M12" s="190">
        <v>0</v>
      </c>
      <c r="N12" s="190">
        <v>0</v>
      </c>
      <c r="O12" s="190">
        <v>0</v>
      </c>
      <c r="P12" s="193">
        <v>0</v>
      </c>
      <c r="Q12" s="290">
        <f t="shared" si="3"/>
        <v>59361</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26020</v>
      </c>
      <c r="D13" s="190">
        <f t="shared" si="4"/>
        <v>32525</v>
      </c>
      <c r="E13" s="191">
        <f t="shared" si="0"/>
        <v>5855</v>
      </c>
      <c r="F13" s="190">
        <f t="shared" si="1"/>
        <v>2602</v>
      </c>
      <c r="G13" s="192">
        <f t="shared" si="5"/>
        <v>0</v>
      </c>
      <c r="H13" s="192">
        <f t="shared" si="5"/>
        <v>0</v>
      </c>
      <c r="I13" s="192">
        <v>0</v>
      </c>
      <c r="J13" s="190">
        <v>0</v>
      </c>
      <c r="K13" s="190">
        <f t="shared" si="2"/>
        <v>0</v>
      </c>
      <c r="L13" s="190">
        <v>0</v>
      </c>
      <c r="M13" s="190">
        <v>0</v>
      </c>
      <c r="N13" s="190">
        <v>0</v>
      </c>
      <c r="O13" s="190">
        <v>0</v>
      </c>
      <c r="P13" s="193">
        <v>0</v>
      </c>
      <c r="Q13" s="290">
        <f t="shared" si="3"/>
        <v>61147</v>
      </c>
      <c r="R13" s="70"/>
      <c r="S13" s="991">
        <f>O52</f>
        <v>0</v>
      </c>
      <c r="T13" s="948"/>
      <c r="U13" s="980">
        <f>O53</f>
        <v>0</v>
      </c>
      <c r="V13" s="948"/>
      <c r="W13" s="980">
        <f>O54</f>
        <v>0</v>
      </c>
      <c r="X13" s="948"/>
      <c r="Y13" s="980">
        <f>O55</f>
        <v>0</v>
      </c>
      <c r="Z13" s="958"/>
      <c r="AA13" s="958"/>
      <c r="AB13" s="951">
        <f>SUM(S13:AA13)</f>
        <v>0</v>
      </c>
      <c r="AC13" s="951"/>
      <c r="AD13" s="941">
        <f>AD11+AB13</f>
        <v>742140</v>
      </c>
      <c r="AE13" s="965"/>
      <c r="AF13" s="966"/>
      <c r="AG13" s="17"/>
    </row>
    <row r="14" spans="1:33" ht="19.5" customHeight="1">
      <c r="A14" s="187">
        <v>6</v>
      </c>
      <c r="B14" s="286">
        <v>42583</v>
      </c>
      <c r="C14" s="192">
        <f t="shared" ref="C14:C20" si="6">C13</f>
        <v>26020</v>
      </c>
      <c r="D14" s="190">
        <f>ROUND(C14*125%,0)</f>
        <v>32525</v>
      </c>
      <c r="E14" s="191">
        <f t="shared" si="0"/>
        <v>5855</v>
      </c>
      <c r="F14" s="190">
        <f t="shared" si="1"/>
        <v>2602</v>
      </c>
      <c r="G14" s="192">
        <f t="shared" si="5"/>
        <v>0</v>
      </c>
      <c r="H14" s="192">
        <f t="shared" si="5"/>
        <v>0</v>
      </c>
      <c r="I14" s="192">
        <v>0</v>
      </c>
      <c r="J14" s="192">
        <f>ROUND(C13*6%,0)*3</f>
        <v>4683</v>
      </c>
      <c r="K14" s="190">
        <f t="shared" si="2"/>
        <v>468</v>
      </c>
      <c r="L14" s="190">
        <v>0</v>
      </c>
      <c r="M14" s="190">
        <v>0</v>
      </c>
      <c r="N14" s="190">
        <v>0</v>
      </c>
      <c r="O14" s="190">
        <v>0</v>
      </c>
      <c r="P14" s="193">
        <v>0</v>
      </c>
      <c r="Q14" s="290">
        <f t="shared" si="3"/>
        <v>65830</v>
      </c>
      <c r="R14" s="50"/>
      <c r="S14" s="954" t="s">
        <v>19</v>
      </c>
      <c r="T14" s="833"/>
      <c r="U14" s="833"/>
      <c r="V14" s="833"/>
      <c r="W14" s="833"/>
      <c r="X14" s="833"/>
      <c r="Y14" s="833"/>
      <c r="Z14" s="833"/>
      <c r="AA14" s="951">
        <f>I55</f>
        <v>0</v>
      </c>
      <c r="AB14" s="951"/>
      <c r="AC14" s="951"/>
      <c r="AD14" s="941">
        <f>AD13+AA14</f>
        <v>742140</v>
      </c>
      <c r="AE14" s="942"/>
      <c r="AF14" s="943"/>
      <c r="AG14" s="17"/>
    </row>
    <row r="15" spans="1:33" ht="19.5" customHeight="1">
      <c r="A15" s="187">
        <v>7</v>
      </c>
      <c r="B15" s="286">
        <v>42614</v>
      </c>
      <c r="C15" s="192">
        <f t="shared" si="6"/>
        <v>26020</v>
      </c>
      <c r="D15" s="190">
        <f t="shared" si="4"/>
        <v>32525</v>
      </c>
      <c r="E15" s="191">
        <f t="shared" si="0"/>
        <v>5855</v>
      </c>
      <c r="F15" s="190">
        <f t="shared" si="1"/>
        <v>2602</v>
      </c>
      <c r="G15" s="192">
        <f t="shared" si="5"/>
        <v>0</v>
      </c>
      <c r="H15" s="192">
        <f t="shared" si="5"/>
        <v>0</v>
      </c>
      <c r="I15" s="192">
        <v>0</v>
      </c>
      <c r="J15" s="192">
        <v>0</v>
      </c>
      <c r="K15" s="190">
        <f t="shared" si="2"/>
        <v>0</v>
      </c>
      <c r="L15" s="190">
        <v>0</v>
      </c>
      <c r="M15" s="190">
        <v>0</v>
      </c>
      <c r="N15" s="190">
        <v>0</v>
      </c>
      <c r="O15" s="190">
        <v>0</v>
      </c>
      <c r="P15" s="193">
        <v>0</v>
      </c>
      <c r="Q15" s="290">
        <f t="shared" si="3"/>
        <v>61147</v>
      </c>
      <c r="R15" s="50"/>
      <c r="S15" s="992" t="s">
        <v>20</v>
      </c>
      <c r="T15" s="993"/>
      <c r="U15" s="993"/>
      <c r="V15" s="993"/>
      <c r="W15" s="993"/>
      <c r="X15" s="993"/>
      <c r="Y15" s="993"/>
      <c r="Z15" s="993"/>
      <c r="AA15" s="993"/>
      <c r="AB15" s="993"/>
      <c r="AC15" s="993"/>
      <c r="AD15" s="941">
        <f>AD14</f>
        <v>742140</v>
      </c>
      <c r="AE15" s="942"/>
      <c r="AF15" s="943"/>
      <c r="AG15" s="17"/>
    </row>
    <row r="16" spans="1:33" ht="19.5" customHeight="1">
      <c r="A16" s="187">
        <v>8</v>
      </c>
      <c r="B16" s="286">
        <v>42644</v>
      </c>
      <c r="C16" s="192">
        <f t="shared" si="6"/>
        <v>26020</v>
      </c>
      <c r="D16" s="190">
        <f>ROUND(C16*131%,0)</f>
        <v>34086</v>
      </c>
      <c r="E16" s="191">
        <f t="shared" si="0"/>
        <v>6011</v>
      </c>
      <c r="F16" s="190">
        <f t="shared" si="1"/>
        <v>2602</v>
      </c>
      <c r="G16" s="192">
        <f t="shared" si="5"/>
        <v>0</v>
      </c>
      <c r="H16" s="192">
        <f t="shared" si="5"/>
        <v>0</v>
      </c>
      <c r="I16" s="192">
        <v>0</v>
      </c>
      <c r="J16" s="192">
        <v>0</v>
      </c>
      <c r="K16" s="190">
        <f t="shared" si="2"/>
        <v>0</v>
      </c>
      <c r="L16" s="190">
        <v>0</v>
      </c>
      <c r="M16" s="190">
        <v>0</v>
      </c>
      <c r="N16" s="190">
        <v>0</v>
      </c>
      <c r="O16" s="190">
        <v>0</v>
      </c>
      <c r="P16" s="193">
        <v>0</v>
      </c>
      <c r="Q16" s="290">
        <f t="shared" si="3"/>
        <v>62708</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26020</v>
      </c>
      <c r="D17" s="190">
        <f>ROUND(C17*131%,0)</f>
        <v>34086</v>
      </c>
      <c r="E17" s="191">
        <f t="shared" si="0"/>
        <v>6011</v>
      </c>
      <c r="F17" s="190">
        <f t="shared" si="1"/>
        <v>2602</v>
      </c>
      <c r="G17" s="192">
        <f t="shared" si="5"/>
        <v>0</v>
      </c>
      <c r="H17" s="192">
        <f t="shared" si="5"/>
        <v>0</v>
      </c>
      <c r="I17" s="192">
        <v>0</v>
      </c>
      <c r="J17" s="192">
        <v>0</v>
      </c>
      <c r="K17" s="190">
        <f t="shared" si="2"/>
        <v>0</v>
      </c>
      <c r="L17" s="190">
        <v>0</v>
      </c>
      <c r="M17" s="190">
        <v>0</v>
      </c>
      <c r="N17" s="190">
        <v>0</v>
      </c>
      <c r="O17" s="190">
        <v>0</v>
      </c>
      <c r="P17" s="193">
        <v>0</v>
      </c>
      <c r="Q17" s="290">
        <f t="shared" si="3"/>
        <v>62708</v>
      </c>
      <c r="R17" s="50"/>
      <c r="S17" s="954" t="s">
        <v>157</v>
      </c>
      <c r="T17" s="833"/>
      <c r="U17" s="833"/>
      <c r="V17" s="951">
        <f>IF('Emp.-Detail'!F21="NO",F37,0)</f>
        <v>9231</v>
      </c>
      <c r="W17" s="951"/>
      <c r="X17" s="833" t="s">
        <v>167</v>
      </c>
      <c r="Y17" s="833"/>
      <c r="Z17" s="833"/>
      <c r="AA17" s="833"/>
      <c r="AB17" s="833"/>
      <c r="AC17" s="833"/>
      <c r="AD17" s="831">
        <f>F45</f>
        <v>0</v>
      </c>
      <c r="AE17" s="831"/>
      <c r="AF17" s="955"/>
      <c r="AG17" s="17"/>
    </row>
    <row r="18" spans="1:34" ht="19.5" customHeight="1">
      <c r="A18" s="187">
        <v>10</v>
      </c>
      <c r="B18" s="286">
        <v>42705</v>
      </c>
      <c r="C18" s="192">
        <f t="shared" si="6"/>
        <v>26020</v>
      </c>
      <c r="D18" s="190">
        <f>ROUND(C18*131%,0)</f>
        <v>34086</v>
      </c>
      <c r="E18" s="191">
        <f t="shared" si="0"/>
        <v>6011</v>
      </c>
      <c r="F18" s="190">
        <f t="shared" si="1"/>
        <v>2602</v>
      </c>
      <c r="G18" s="192">
        <f t="shared" si="5"/>
        <v>0</v>
      </c>
      <c r="H18" s="192">
        <f t="shared" si="5"/>
        <v>0</v>
      </c>
      <c r="I18" s="192">
        <v>0</v>
      </c>
      <c r="J18" s="192">
        <v>0</v>
      </c>
      <c r="K18" s="190">
        <f t="shared" si="2"/>
        <v>0</v>
      </c>
      <c r="L18" s="190">
        <v>0</v>
      </c>
      <c r="M18" s="190">
        <v>0</v>
      </c>
      <c r="N18" s="190">
        <v>0</v>
      </c>
      <c r="O18" s="190">
        <v>0</v>
      </c>
      <c r="P18" s="193">
        <v>0</v>
      </c>
      <c r="Q18" s="290">
        <f t="shared" si="3"/>
        <v>62708</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26020</v>
      </c>
      <c r="D19" s="190">
        <f>ROUND(C19*131%,0)</f>
        <v>34086</v>
      </c>
      <c r="E19" s="191">
        <f t="shared" si="0"/>
        <v>6011</v>
      </c>
      <c r="F19" s="190">
        <f t="shared" si="1"/>
        <v>2602</v>
      </c>
      <c r="G19" s="192">
        <f t="shared" si="5"/>
        <v>0</v>
      </c>
      <c r="H19" s="192">
        <f t="shared" si="5"/>
        <v>0</v>
      </c>
      <c r="I19" s="192">
        <v>0</v>
      </c>
      <c r="J19" s="192">
        <v>0</v>
      </c>
      <c r="K19" s="190">
        <f t="shared" si="2"/>
        <v>0</v>
      </c>
      <c r="L19" s="190">
        <v>0</v>
      </c>
      <c r="M19" s="190">
        <v>0</v>
      </c>
      <c r="N19" s="190">
        <v>0</v>
      </c>
      <c r="O19" s="190">
        <v>0</v>
      </c>
      <c r="P19" s="193">
        <v>0</v>
      </c>
      <c r="Q19" s="290">
        <f t="shared" si="3"/>
        <v>62708</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26020</v>
      </c>
      <c r="D20" s="190">
        <f>ROUND(C20*131%,0)</f>
        <v>34086</v>
      </c>
      <c r="E20" s="191">
        <f t="shared" si="0"/>
        <v>6011</v>
      </c>
      <c r="F20" s="190">
        <f t="shared" si="1"/>
        <v>2602</v>
      </c>
      <c r="G20" s="192">
        <f t="shared" si="5"/>
        <v>0</v>
      </c>
      <c r="H20" s="192">
        <f t="shared" si="5"/>
        <v>0</v>
      </c>
      <c r="I20" s="192">
        <v>0</v>
      </c>
      <c r="J20" s="192">
        <v>0</v>
      </c>
      <c r="K20" s="190">
        <f t="shared" si="2"/>
        <v>0</v>
      </c>
      <c r="L20" s="190">
        <v>0</v>
      </c>
      <c r="M20" s="190">
        <v>0</v>
      </c>
      <c r="N20" s="190">
        <v>0</v>
      </c>
      <c r="O20" s="190">
        <v>0</v>
      </c>
      <c r="P20" s="193">
        <v>0</v>
      </c>
      <c r="Q20" s="290">
        <f t="shared" si="3"/>
        <v>62708</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309200</v>
      </c>
      <c r="D21" s="287">
        <f>SUM(D9:D20)</f>
        <v>392789</v>
      </c>
      <c r="E21" s="288">
        <f>SUM(E9:E20)</f>
        <v>70204</v>
      </c>
      <c r="F21" s="287">
        <f>SUM(F9:F20)</f>
        <v>30920</v>
      </c>
      <c r="G21" s="287">
        <f t="shared" si="7"/>
        <v>0</v>
      </c>
      <c r="H21" s="287">
        <f>SUM(H9:H20)</f>
        <v>0</v>
      </c>
      <c r="I21" s="287">
        <f t="shared" si="7"/>
        <v>4548</v>
      </c>
      <c r="J21" s="287">
        <f t="shared" si="7"/>
        <v>4683</v>
      </c>
      <c r="K21" s="287">
        <f>SUM(K9:K20)</f>
        <v>923</v>
      </c>
      <c r="L21" s="287">
        <f t="shared" si="7"/>
        <v>0</v>
      </c>
      <c r="M21" s="287">
        <f t="shared" si="7"/>
        <v>0</v>
      </c>
      <c r="N21" s="287">
        <f t="shared" si="7"/>
        <v>0</v>
      </c>
      <c r="O21" s="287">
        <f>SUM(O9:O20)</f>
        <v>0</v>
      </c>
      <c r="P21" s="289">
        <f>SUM(P9:P20)</f>
        <v>0</v>
      </c>
      <c r="Q21" s="84">
        <f>SUM(Q9:Q20)</f>
        <v>742140</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IF('Emp.-Detail'!F21="yes",E9)+IF('Emp.-Detail'!F21="NO",0)</f>
        <v>0</v>
      </c>
      <c r="D25" s="192">
        <f>IF('Emp.-Detail'!F21="YES",K9)+IF('Emp.-Detail'!F21="NO",I9,0)</f>
        <v>4548</v>
      </c>
      <c r="E25" s="195"/>
      <c r="F25" s="287">
        <f>SUM(C25:D25)</f>
        <v>4548</v>
      </c>
      <c r="G25" s="192">
        <v>0</v>
      </c>
      <c r="H25" s="194">
        <v>0</v>
      </c>
      <c r="I25" s="192">
        <v>3000</v>
      </c>
      <c r="J25" s="195">
        <v>0</v>
      </c>
      <c r="K25" s="195"/>
      <c r="L25" s="195">
        <v>0</v>
      </c>
      <c r="M25" s="196">
        <v>595</v>
      </c>
      <c r="N25" s="196">
        <v>0</v>
      </c>
      <c r="O25" s="196">
        <v>3500</v>
      </c>
      <c r="P25" s="192">
        <v>0</v>
      </c>
      <c r="Q25" s="297">
        <f>SUM(F25:P25)</f>
        <v>11643</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IF('Emp.-Detail'!F21="yes",E10)+IF('Emp.-Detail'!F21="NO",0)</f>
        <v>0</v>
      </c>
      <c r="D26" s="192">
        <f>IF('Emp.-Detail'!F21="YES",K10)+IF('Emp.-Detail'!F21="NO",I10,0)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3500</v>
      </c>
      <c r="P26" s="194">
        <f>'Emp.-Detail'!AB9+'Emp.-Detail'!AB9*14.5%</f>
        <v>251.9</v>
      </c>
      <c r="Q26" s="297">
        <f t="shared" ref="Q26:Q36" si="11">SUM(F26:P26)</f>
        <v>7346.9</v>
      </c>
      <c r="R26" s="50"/>
      <c r="S26" s="1089" t="s">
        <v>279</v>
      </c>
      <c r="T26" s="1090"/>
      <c r="U26" s="1090"/>
      <c r="V26" s="1090"/>
      <c r="W26" s="1090"/>
      <c r="X26" s="1090"/>
      <c r="Y26" s="1090"/>
      <c r="Z26" s="1090"/>
      <c r="AA26" s="1091"/>
      <c r="AB26" s="942">
        <f>SUM(V17:V25)+SUM(AD17:AD25)</f>
        <v>45451</v>
      </c>
      <c r="AC26" s="957"/>
      <c r="AD26" s="1135">
        <f>IF(AB26&lt;=150000,AB26,150000)+AD25</f>
        <v>45451</v>
      </c>
      <c r="AE26" s="1136"/>
      <c r="AF26" s="1137"/>
      <c r="AG26" s="17"/>
    </row>
    <row r="27" spans="1:34" ht="19.5" customHeight="1">
      <c r="A27" s="187">
        <v>3</v>
      </c>
      <c r="B27" s="296">
        <f t="shared" si="8"/>
        <v>42491</v>
      </c>
      <c r="C27" s="192">
        <f>IF('Emp.-Detail'!F21="yes",E11)+IF('Emp.-Detail'!F21="NO",0)</f>
        <v>0</v>
      </c>
      <c r="D27" s="192">
        <f>IF('Emp.-Detail'!F21="YES",K11)+IF('Emp.-Detail'!F21="NO",I11,0)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3500</v>
      </c>
      <c r="P27" s="192">
        <v>0</v>
      </c>
      <c r="Q27" s="297">
        <f t="shared" si="11"/>
        <v>7095</v>
      </c>
      <c r="R27" s="50"/>
      <c r="S27" s="1085" t="s">
        <v>592</v>
      </c>
      <c r="T27" s="1086"/>
      <c r="U27" s="1086"/>
      <c r="V27" s="1086"/>
      <c r="W27" s="1086"/>
      <c r="X27" s="1086"/>
      <c r="Y27" s="1086"/>
      <c r="Z27" s="1086"/>
      <c r="AA27" s="1086"/>
      <c r="AB27" s="1087">
        <f>AB5</f>
        <v>0</v>
      </c>
      <c r="AC27" s="1088"/>
      <c r="AD27" s="831">
        <f>AD15-(AD26+AB5)</f>
        <v>696689</v>
      </c>
      <c r="AE27" s="831"/>
      <c r="AF27" s="955"/>
      <c r="AG27" s="17"/>
    </row>
    <row r="28" spans="1:34" ht="19.5" customHeight="1">
      <c r="A28" s="187">
        <v>4</v>
      </c>
      <c r="B28" s="296">
        <f t="shared" si="8"/>
        <v>42522</v>
      </c>
      <c r="C28" s="192">
        <f>IF('Emp.-Detail'!F21="yes",E12)+IF('Emp.-Detail'!F21="NO",0)</f>
        <v>0</v>
      </c>
      <c r="D28" s="192">
        <f>IF('Emp.-Detail'!F21="YES",K12)+IF('Emp.-Detail'!F21="NO",I12,0)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3500</v>
      </c>
      <c r="P28" s="192">
        <v>0</v>
      </c>
      <c r="Q28" s="297">
        <f t="shared" si="11"/>
        <v>7095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IF('Emp.-Detail'!F21="yes",E13)+IF('Emp.-Detail'!F21="NO",0)</f>
        <v>0</v>
      </c>
      <c r="D29" s="192">
        <f>IF('Emp.-Detail'!F21="YES",K13)+IF('Emp.-Detail'!F21="NO",I13,0)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3500</v>
      </c>
      <c r="P29" s="192">
        <v>0</v>
      </c>
      <c r="Q29" s="297">
        <f t="shared" si="11"/>
        <v>7095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IF('Emp.-Detail'!F21="yes",E14)+IF('Emp.-Detail'!F21="NO",0)</f>
        <v>0</v>
      </c>
      <c r="D30" s="192">
        <f>IF('Emp.-Detail'!F21="YES",K14)+IF('Emp.-Detail'!F21="NO",J14,0)</f>
        <v>4683</v>
      </c>
      <c r="E30" s="195"/>
      <c r="F30" s="287">
        <f t="shared" si="9"/>
        <v>4683</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3500</v>
      </c>
      <c r="P30" s="192">
        <v>0</v>
      </c>
      <c r="Q30" s="297">
        <f t="shared" si="11"/>
        <v>11778</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IF('Emp.-Detail'!F21="yes",E15)+IF('Emp.-Detail'!F21="NO",0)</f>
        <v>0</v>
      </c>
      <c r="D31" s="192">
        <f>IF('Emp.-Detail'!F21="YES",K15)+IF('Emp.-Detail'!F21="NO",J15,0)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3500</v>
      </c>
      <c r="P31" s="192">
        <v>0</v>
      </c>
      <c r="Q31" s="297">
        <f t="shared" si="11"/>
        <v>7095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IF('Emp.-Detail'!F21="yes",E16)+IF('Emp.-Detail'!F21="NO",0)</f>
        <v>0</v>
      </c>
      <c r="D32" s="192">
        <f>IF('Emp.-Detail'!F21="YES",K16)+IF('Emp.-Detail'!F21="NO",J16,0)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3500</v>
      </c>
      <c r="P32" s="192">
        <v>0</v>
      </c>
      <c r="Q32" s="297">
        <f t="shared" si="11"/>
        <v>7095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IF('Emp.-Detail'!F21="yes",E17)+IF('Emp.-Detail'!F21="NO",0)</f>
        <v>0</v>
      </c>
      <c r="D33" s="192">
        <f>IF('Emp.-Detail'!F21="YES",K17)+IF('Emp.-Detail'!F21="NO",J17,0)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3500</v>
      </c>
      <c r="P33" s="192">
        <v>0</v>
      </c>
      <c r="Q33" s="297">
        <f t="shared" si="11"/>
        <v>7095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IF('Emp.-Detail'!F21="yes",E18)+IF('Emp.-Detail'!F21="NO",0)</f>
        <v>0</v>
      </c>
      <c r="D34" s="192">
        <f>IF('Emp.-Detail'!F21="YES",K18)+IF('Emp.-Detail'!F21="NO",J18,0)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3500</v>
      </c>
      <c r="P34" s="192">
        <v>0</v>
      </c>
      <c r="Q34" s="297">
        <f t="shared" si="11"/>
        <v>7095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IF('Emp.-Detail'!F21="yes",E19)+IF('Emp.-Detail'!F21="NO",0)</f>
        <v>0</v>
      </c>
      <c r="D35" s="192">
        <f>IF('Emp.-Detail'!F21="YES",K19)+IF('Emp.-Detail'!F21="NO",J19,0)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3500</v>
      </c>
      <c r="P35" s="192">
        <v>0</v>
      </c>
      <c r="Q35" s="297">
        <f t="shared" si="11"/>
        <v>7095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IF('Emp.-Detail'!F21="yes",E20)+IF('Emp.-Detail'!F21="NO",0)</f>
        <v>0</v>
      </c>
      <c r="D36" s="192">
        <f>IF('Emp.-Detail'!F21="YES",K20)+IF('Emp.-Detail'!F21="NO",J20,0)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3500</v>
      </c>
      <c r="P36" s="192">
        <v>0</v>
      </c>
      <c r="Q36" s="297">
        <f t="shared" si="11"/>
        <v>7095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9231</v>
      </c>
      <c r="E37" s="306"/>
      <c r="F37" s="307">
        <f t="shared" si="9"/>
        <v>9231</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42000</v>
      </c>
      <c r="P37" s="288">
        <f t="shared" si="12"/>
        <v>251.9</v>
      </c>
      <c r="Q37" s="305">
        <f t="shared" si="12"/>
        <v>94622.9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742140</v>
      </c>
      <c r="D38" s="860"/>
      <c r="E38" s="309"/>
      <c r="F38" s="310"/>
      <c r="G38" s="1001" t="s">
        <v>13</v>
      </c>
      <c r="H38" s="1001"/>
      <c r="I38" s="1001"/>
      <c r="J38" s="860">
        <f>Q37</f>
        <v>94622.9</v>
      </c>
      <c r="K38" s="860"/>
      <c r="L38" s="860"/>
      <c r="M38" s="310"/>
      <c r="N38" s="998" t="s">
        <v>15</v>
      </c>
      <c r="O38" s="998"/>
      <c r="P38" s="860">
        <f>Q21-Q37</f>
        <v>647517.1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696689</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696690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64338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64338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1287</v>
      </c>
      <c r="V43" s="949"/>
      <c r="W43" s="949"/>
      <c r="X43" s="1067" t="s">
        <v>84</v>
      </c>
      <c r="Y43" s="1067"/>
      <c r="Z43" s="1067"/>
      <c r="AA43" s="953">
        <f>ROUND((AD42*1%),0)</f>
        <v>643</v>
      </c>
      <c r="AB43" s="953"/>
      <c r="AC43" s="953"/>
      <c r="AD43" s="951">
        <f>U43+AA43</f>
        <v>1930</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66268</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IF('Emp.-Detail'!F21="NO",0,ROUND(E21+K21,0))</f>
        <v>0</v>
      </c>
      <c r="Q46" s="943"/>
      <c r="R46" s="22"/>
      <c r="S46" s="1071" t="s">
        <v>87</v>
      </c>
      <c r="T46" s="1072"/>
      <c r="U46" s="1072"/>
      <c r="V46" s="1072"/>
      <c r="W46" s="1072"/>
      <c r="X46" s="1072"/>
      <c r="Y46" s="1072"/>
      <c r="Z46" s="1072"/>
      <c r="AA46" s="1072"/>
      <c r="AB46" s="1072"/>
      <c r="AC46" s="1072"/>
      <c r="AD46" s="796">
        <f>AD44-AD45</f>
        <v>66268</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10500</v>
      </c>
      <c r="T49" s="1081"/>
      <c r="U49" s="1081"/>
      <c r="V49" s="1070">
        <f>SUM(O28:O30)</f>
        <v>10500</v>
      </c>
      <c r="W49" s="1070"/>
      <c r="X49" s="1070"/>
      <c r="Y49" s="1070">
        <f>SUM(O31:O33)</f>
        <v>10500</v>
      </c>
      <c r="Z49" s="1070"/>
      <c r="AA49" s="1070"/>
      <c r="AB49" s="951">
        <f>SUM(O34:O36)</f>
        <v>10500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42000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24268</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VIJAY SANKAR SHARAMA</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742140</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742140</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742140</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VIJAY SANKAR SHARAMA</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ADUPS1283L</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0</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742140</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'Emp.-Detail'!O21</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9231</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181115</v>
      </c>
      <c r="K69" s="788"/>
      <c r="L69" s="788"/>
      <c r="M69" s="776"/>
      <c r="N69" s="775">
        <f>SUM(O25:O27)</f>
        <v>10500</v>
      </c>
      <c r="O69" s="776"/>
      <c r="P69" s="775">
        <f>N69</f>
        <v>10500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186338</v>
      </c>
      <c r="K70" s="788"/>
      <c r="L70" s="788"/>
      <c r="M70" s="776"/>
      <c r="N70" s="775">
        <f>SUM(O28:O30)</f>
        <v>10500</v>
      </c>
      <c r="O70" s="776"/>
      <c r="P70" s="775">
        <f>N70</f>
        <v>10500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186563</v>
      </c>
      <c r="K71" s="788"/>
      <c r="L71" s="788"/>
      <c r="M71" s="776"/>
      <c r="N71" s="775">
        <f>SUM(O31:O33)</f>
        <v>10500</v>
      </c>
      <c r="O71" s="776"/>
      <c r="P71" s="775">
        <f t="shared" ref="P71:P72" si="13">N71</f>
        <v>10500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188124</v>
      </c>
      <c r="K72" s="788"/>
      <c r="L72" s="788"/>
      <c r="M72" s="776"/>
      <c r="N72" s="775">
        <f>SUM(O34:O36)</f>
        <v>10500</v>
      </c>
      <c r="O72" s="776"/>
      <c r="P72" s="775">
        <f t="shared" si="13"/>
        <v>10500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742140</v>
      </c>
      <c r="K73" s="808"/>
      <c r="L73" s="808"/>
      <c r="M73" s="809"/>
      <c r="N73" s="845">
        <f>SUM(N69:N72)</f>
        <v>42000</v>
      </c>
      <c r="O73" s="809"/>
      <c r="P73" s="845">
        <f>SUM(P69:P72)</f>
        <v>42000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3500</v>
      </c>
      <c r="E76" s="219"/>
      <c r="F76" s="219">
        <f>O26</f>
        <v>3500</v>
      </c>
      <c r="G76" s="219">
        <f>O27</f>
        <v>3500</v>
      </c>
      <c r="H76" s="219">
        <f>O28</f>
        <v>3500</v>
      </c>
      <c r="I76" s="219">
        <f>O29</f>
        <v>3500</v>
      </c>
      <c r="J76" s="219">
        <f>O30</f>
        <v>3500</v>
      </c>
      <c r="K76" s="219"/>
      <c r="L76" s="219">
        <f>O31</f>
        <v>3500</v>
      </c>
      <c r="M76" s="219">
        <f>O32</f>
        <v>3500</v>
      </c>
      <c r="N76" s="219">
        <f>O33</f>
        <v>3500</v>
      </c>
      <c r="O76" s="219">
        <f>O34</f>
        <v>3500</v>
      </c>
      <c r="P76" s="219">
        <f>O35</f>
        <v>3500</v>
      </c>
      <c r="Q76" s="220">
        <f>O36</f>
        <v>3500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45451</v>
      </c>
      <c r="AC81" s="1113"/>
      <c r="AD81" s="773">
        <f>AD26</f>
        <v>45451</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'Emp.-Detail'!N21</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'Emp.-Detail'!N21</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'Emp.-Detail'!N21</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'Emp.-Detail'!J21</f>
        <v>0</v>
      </c>
      <c r="C87" s="788"/>
      <c r="D87" s="776"/>
      <c r="E87" s="257"/>
      <c r="F87" s="1233" t="str">
        <f>'Emp.-Detail'!K21</f>
        <v>0</v>
      </c>
      <c r="G87" s="791"/>
      <c r="H87" s="791"/>
      <c r="I87" s="792"/>
      <c r="J87" s="810" t="str">
        <f>'Emp.-Detail'!L21</f>
        <v>00/00/0000</v>
      </c>
      <c r="K87" s="811"/>
      <c r="L87" s="811"/>
      <c r="M87" s="812"/>
      <c r="N87" s="1233" t="str">
        <f>'Emp.-Detail'!M21</f>
        <v>00</v>
      </c>
      <c r="O87" s="792"/>
      <c r="P87" s="793" t="str">
        <f>'Emp.-Detail'!N21</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42000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FOURTY  TWO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45451</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696690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64338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1930</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66268</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66268</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742140</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742140</v>
      </c>
      <c r="P104" s="776"/>
      <c r="Q104" s="258">
        <f>O104</f>
        <v>742140</v>
      </c>
      <c r="R104" s="235"/>
      <c r="S104" s="254"/>
      <c r="T104" s="229" t="str">
        <f>'DDO '!L10</f>
        <v>PRINCIPAL</v>
      </c>
      <c r="U104" s="229"/>
      <c r="V104" s="780" t="s">
        <v>51</v>
      </c>
      <c r="W104" s="780"/>
      <c r="X104" s="780"/>
      <c r="Y104" s="780"/>
      <c r="Z104" s="770">
        <f>AD100</f>
        <v>66268</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SIXTY  SIX  Thousand  TWO  Hundred  SIXTY  EIGHT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742140</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742140</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742140</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7"/>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8.xml><?xml version="1.0" encoding="utf-8"?>
<worksheet xmlns="http://schemas.openxmlformats.org/spreadsheetml/2006/main" xmlns:r="http://schemas.openxmlformats.org/officeDocument/2006/relationships">
  <dimension ref="A1:AJ150"/>
  <sheetViews>
    <sheetView view="pageBreakPreview" topLeftCell="A11" zoomScaleSheetLayoutView="100" workbookViewId="0">
      <selection activeCell="N27" sqref="N27"/>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GOVIND RAM BHATI </v>
      </c>
      <c r="T3" s="538"/>
      <c r="U3" s="538"/>
      <c r="V3" s="538"/>
      <c r="W3" s="949" t="str">
        <f>P4</f>
        <v>Sr. Teacher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'Emp.-Detail'!B22</f>
        <v xml:space="preserve">GOVIND RAM BHATI </v>
      </c>
      <c r="E4" s="949"/>
      <c r="F4" s="949"/>
      <c r="G4" s="949"/>
      <c r="H4" s="949"/>
      <c r="I4" s="854"/>
      <c r="J4" s="1185">
        <f>'Emp.-Detail'!A22</f>
        <v>14</v>
      </c>
      <c r="K4" s="1186"/>
      <c r="L4" s="1187"/>
      <c r="M4" s="982" t="s">
        <v>8</v>
      </c>
      <c r="N4" s="833"/>
      <c r="O4" s="833"/>
      <c r="P4" s="949" t="str">
        <f>'Emp.-Detail'!C22</f>
        <v>Sr. Teacher</v>
      </c>
      <c r="Q4" s="950"/>
      <c r="R4" s="50"/>
      <c r="S4" s="1250" t="str">
        <f>D5</f>
        <v>ASHPR1636E</v>
      </c>
      <c r="T4" s="538"/>
      <c r="U4" s="538"/>
      <c r="V4" s="538"/>
      <c r="W4" s="959" t="str">
        <f>'Emp.-Detail'!H22</f>
        <v>61035562794</v>
      </c>
      <c r="X4" s="949"/>
      <c r="Y4" s="949"/>
      <c r="Z4" s="949"/>
      <c r="AA4" s="949" t="str">
        <f>'Emp.-Detail'!I22</f>
        <v>SBBJ, Sujangarh</v>
      </c>
      <c r="AB4" s="949"/>
      <c r="AC4" s="949"/>
      <c r="AD4" s="949"/>
      <c r="AE4" s="949"/>
      <c r="AF4" s="950"/>
      <c r="AG4" s="17"/>
    </row>
    <row r="5" spans="1:33" ht="19.5" customHeight="1" thickBot="1">
      <c r="A5" s="954" t="s">
        <v>135</v>
      </c>
      <c r="B5" s="833"/>
      <c r="C5" s="833"/>
      <c r="D5" s="949" t="str">
        <f>'Emp.-Detail'!D22</f>
        <v>ASHPR1636E</v>
      </c>
      <c r="E5" s="949"/>
      <c r="F5" s="949"/>
      <c r="G5" s="949"/>
      <c r="H5" s="949"/>
      <c r="I5" s="854"/>
      <c r="J5" s="1188"/>
      <c r="K5" s="1189"/>
      <c r="L5" s="1190"/>
      <c r="M5" s="982" t="s">
        <v>137</v>
      </c>
      <c r="N5" s="833"/>
      <c r="O5" s="833"/>
      <c r="P5" s="959">
        <f>'Emp.-Detail'!G22</f>
        <v>9672695074</v>
      </c>
      <c r="Q5" s="950"/>
      <c r="R5" s="50"/>
      <c r="S5" s="974" t="s">
        <v>203</v>
      </c>
      <c r="T5" s="975"/>
      <c r="U5" s="975"/>
      <c r="V5" s="975"/>
      <c r="W5" s="951">
        <f>SUM(Q9:Q20)</f>
        <v>652931</v>
      </c>
      <c r="X5" s="951"/>
      <c r="Y5" s="1248" t="s">
        <v>202</v>
      </c>
      <c r="Z5" s="1249"/>
      <c r="AA5" s="1088"/>
      <c r="AB5" s="951">
        <f>P46</f>
        <v>0</v>
      </c>
      <c r="AC5" s="949"/>
      <c r="AD5" s="941">
        <f>W5+AB5</f>
        <v>652931</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652931</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652931</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652931</v>
      </c>
      <c r="AE8" s="942"/>
      <c r="AF8" s="943"/>
      <c r="AG8" s="17"/>
    </row>
    <row r="9" spans="1:33" ht="19.5" customHeight="1">
      <c r="A9" s="285">
        <v>1</v>
      </c>
      <c r="B9" s="286">
        <v>42430</v>
      </c>
      <c r="C9" s="190">
        <f>'Emp.-Detail'!E22</f>
        <v>21400</v>
      </c>
      <c r="D9" s="190">
        <f>ROUND(C9*119%,0)</f>
        <v>25466</v>
      </c>
      <c r="E9" s="191">
        <f>ROUND((C9+D9)*10%,0)</f>
        <v>4687</v>
      </c>
      <c r="F9" s="190">
        <f>ROUND(C9*10%,0)</f>
        <v>2140</v>
      </c>
      <c r="G9" s="190">
        <v>0</v>
      </c>
      <c r="H9" s="190">
        <v>0</v>
      </c>
      <c r="I9" s="192">
        <f>ROUND(C9*6%,0)*3</f>
        <v>3852</v>
      </c>
      <c r="J9" s="190">
        <v>0</v>
      </c>
      <c r="K9" s="190">
        <f>ROUND((I9+J9)*10%,0)</f>
        <v>385</v>
      </c>
      <c r="L9" s="190">
        <v>24075</v>
      </c>
      <c r="M9" s="190">
        <v>0</v>
      </c>
      <c r="N9" s="190">
        <v>0</v>
      </c>
      <c r="O9" s="190">
        <v>0</v>
      </c>
      <c r="P9" s="193">
        <v>0</v>
      </c>
      <c r="Q9" s="290">
        <f>C9+D9+F9+G9+H9+I9+J9+L9+M9+N9+O9</f>
        <v>76933</v>
      </c>
      <c r="R9" s="282"/>
      <c r="S9" s="984" t="s">
        <v>144</v>
      </c>
      <c r="T9" s="985"/>
      <c r="U9" s="985"/>
      <c r="V9" s="985"/>
      <c r="W9" s="985"/>
      <c r="X9" s="985"/>
      <c r="Y9" s="985"/>
      <c r="Z9" s="971" t="s">
        <v>18</v>
      </c>
      <c r="AA9" s="971"/>
      <c r="AB9" s="967">
        <f>O49</f>
        <v>0</v>
      </c>
      <c r="AC9" s="968"/>
      <c r="AD9" s="977">
        <f>AD8+AB9</f>
        <v>652931</v>
      </c>
      <c r="AE9" s="978"/>
      <c r="AF9" s="979"/>
      <c r="AG9" s="17"/>
    </row>
    <row r="10" spans="1:33" ht="19.5" customHeight="1">
      <c r="A10" s="187">
        <v>2</v>
      </c>
      <c r="B10" s="286">
        <v>42461</v>
      </c>
      <c r="C10" s="192">
        <f>C9</f>
        <v>21400</v>
      </c>
      <c r="D10" s="190">
        <f>ROUND(C10*125%,0)</f>
        <v>26750</v>
      </c>
      <c r="E10" s="191">
        <f t="shared" ref="E10:E20" si="0">ROUND((C10+D10)*10%,0)</f>
        <v>4815</v>
      </c>
      <c r="F10" s="190">
        <f t="shared" ref="F10:F20" si="1">ROUND(C10*10%,0)</f>
        <v>2140</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50290</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21400</v>
      </c>
      <c r="D11" s="190">
        <f t="shared" ref="D11:D15" si="4">ROUND(C11*125%,0)</f>
        <v>26750</v>
      </c>
      <c r="E11" s="191">
        <f t="shared" si="0"/>
        <v>4815</v>
      </c>
      <c r="F11" s="190">
        <f t="shared" si="1"/>
        <v>2140</v>
      </c>
      <c r="G11" s="192">
        <f t="shared" ref="G11:H20" si="5">G10</f>
        <v>0</v>
      </c>
      <c r="H11" s="192">
        <f t="shared" si="5"/>
        <v>0</v>
      </c>
      <c r="I11" s="192">
        <v>0</v>
      </c>
      <c r="J11" s="190">
        <v>0</v>
      </c>
      <c r="K11" s="190">
        <f t="shared" si="2"/>
        <v>0</v>
      </c>
      <c r="L11" s="190">
        <v>0</v>
      </c>
      <c r="M11" s="190">
        <v>0</v>
      </c>
      <c r="N11" s="190">
        <v>0</v>
      </c>
      <c r="O11" s="190">
        <v>0</v>
      </c>
      <c r="P11" s="193">
        <v>0</v>
      </c>
      <c r="Q11" s="290">
        <f t="shared" si="3"/>
        <v>50290</v>
      </c>
      <c r="R11" s="50"/>
      <c r="S11" s="292" t="s">
        <v>146</v>
      </c>
      <c r="T11" s="958">
        <f>O50</f>
        <v>0</v>
      </c>
      <c r="U11" s="948"/>
      <c r="V11" s="980">
        <f>O51</f>
        <v>0</v>
      </c>
      <c r="W11" s="958"/>
      <c r="X11" s="948"/>
      <c r="Y11" s="980">
        <f>Q49</f>
        <v>0</v>
      </c>
      <c r="Z11" s="958"/>
      <c r="AA11" s="948"/>
      <c r="AB11" s="980">
        <f>T11+V11+Y11</f>
        <v>0</v>
      </c>
      <c r="AC11" s="948"/>
      <c r="AD11" s="941">
        <f>AD9-AB11</f>
        <v>652931</v>
      </c>
      <c r="AE11" s="942"/>
      <c r="AF11" s="943"/>
      <c r="AG11" s="17"/>
    </row>
    <row r="12" spans="1:33" ht="19.5" customHeight="1">
      <c r="A12" s="187">
        <v>4</v>
      </c>
      <c r="B12" s="286">
        <v>42522</v>
      </c>
      <c r="C12" s="192">
        <f>C11</f>
        <v>21400</v>
      </c>
      <c r="D12" s="190">
        <f t="shared" si="4"/>
        <v>26750</v>
      </c>
      <c r="E12" s="191">
        <f t="shared" si="0"/>
        <v>4815</v>
      </c>
      <c r="F12" s="190">
        <f t="shared" si="1"/>
        <v>2140</v>
      </c>
      <c r="G12" s="192">
        <f t="shared" si="5"/>
        <v>0</v>
      </c>
      <c r="H12" s="192">
        <f t="shared" si="5"/>
        <v>0</v>
      </c>
      <c r="I12" s="192">
        <v>0</v>
      </c>
      <c r="J12" s="190">
        <v>0</v>
      </c>
      <c r="K12" s="190">
        <f t="shared" si="2"/>
        <v>0</v>
      </c>
      <c r="L12" s="190">
        <v>0</v>
      </c>
      <c r="M12" s="190">
        <v>0</v>
      </c>
      <c r="N12" s="190">
        <v>0</v>
      </c>
      <c r="O12" s="190">
        <v>0</v>
      </c>
      <c r="P12" s="193">
        <v>0</v>
      </c>
      <c r="Q12" s="290">
        <f t="shared" si="3"/>
        <v>50290</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22050</v>
      </c>
      <c r="D13" s="190">
        <f t="shared" si="4"/>
        <v>27563</v>
      </c>
      <c r="E13" s="191">
        <f t="shared" si="0"/>
        <v>4961</v>
      </c>
      <c r="F13" s="190">
        <f t="shared" si="1"/>
        <v>2205</v>
      </c>
      <c r="G13" s="192">
        <f t="shared" si="5"/>
        <v>0</v>
      </c>
      <c r="H13" s="192">
        <f t="shared" si="5"/>
        <v>0</v>
      </c>
      <c r="I13" s="192">
        <v>0</v>
      </c>
      <c r="J13" s="190">
        <v>0</v>
      </c>
      <c r="K13" s="190">
        <f t="shared" si="2"/>
        <v>0</v>
      </c>
      <c r="L13" s="190">
        <v>0</v>
      </c>
      <c r="M13" s="190">
        <v>0</v>
      </c>
      <c r="N13" s="190">
        <v>0</v>
      </c>
      <c r="O13" s="190">
        <v>0</v>
      </c>
      <c r="P13" s="193">
        <v>0</v>
      </c>
      <c r="Q13" s="290">
        <f t="shared" si="3"/>
        <v>51818</v>
      </c>
      <c r="R13" s="70"/>
      <c r="S13" s="991">
        <f>O52</f>
        <v>0</v>
      </c>
      <c r="T13" s="948"/>
      <c r="U13" s="980">
        <f>O53</f>
        <v>0</v>
      </c>
      <c r="V13" s="948"/>
      <c r="W13" s="980">
        <f>O54</f>
        <v>0</v>
      </c>
      <c r="X13" s="948"/>
      <c r="Y13" s="980">
        <f>O55</f>
        <v>0</v>
      </c>
      <c r="Z13" s="958"/>
      <c r="AA13" s="958"/>
      <c r="AB13" s="951">
        <f>SUM(S13:AA13)</f>
        <v>0</v>
      </c>
      <c r="AC13" s="951"/>
      <c r="AD13" s="941">
        <f>AD11+AB13</f>
        <v>652931</v>
      </c>
      <c r="AE13" s="965"/>
      <c r="AF13" s="966"/>
      <c r="AG13" s="17"/>
    </row>
    <row r="14" spans="1:33" ht="19.5" customHeight="1">
      <c r="A14" s="187">
        <v>6</v>
      </c>
      <c r="B14" s="286">
        <v>42583</v>
      </c>
      <c r="C14" s="192">
        <f t="shared" ref="C14:C20" si="6">C13</f>
        <v>22050</v>
      </c>
      <c r="D14" s="190">
        <f>ROUND(C14*125%,0)</f>
        <v>27563</v>
      </c>
      <c r="E14" s="191">
        <f t="shared" si="0"/>
        <v>4961</v>
      </c>
      <c r="F14" s="190">
        <f t="shared" si="1"/>
        <v>2205</v>
      </c>
      <c r="G14" s="192">
        <f t="shared" si="5"/>
        <v>0</v>
      </c>
      <c r="H14" s="192">
        <f t="shared" si="5"/>
        <v>0</v>
      </c>
      <c r="I14" s="192">
        <v>0</v>
      </c>
      <c r="J14" s="192">
        <f>ROUND(C13*6%,0)*3</f>
        <v>3969</v>
      </c>
      <c r="K14" s="190">
        <f t="shared" si="2"/>
        <v>397</v>
      </c>
      <c r="L14" s="190">
        <v>0</v>
      </c>
      <c r="M14" s="190">
        <v>0</v>
      </c>
      <c r="N14" s="190">
        <v>0</v>
      </c>
      <c r="O14" s="190">
        <v>0</v>
      </c>
      <c r="P14" s="193">
        <v>0</v>
      </c>
      <c r="Q14" s="290">
        <f t="shared" si="3"/>
        <v>55787</v>
      </c>
      <c r="R14" s="50"/>
      <c r="S14" s="954" t="s">
        <v>19</v>
      </c>
      <c r="T14" s="833"/>
      <c r="U14" s="833"/>
      <c r="V14" s="833"/>
      <c r="W14" s="833"/>
      <c r="X14" s="833"/>
      <c r="Y14" s="833"/>
      <c r="Z14" s="833"/>
      <c r="AA14" s="951">
        <f>I55</f>
        <v>0</v>
      </c>
      <c r="AB14" s="951"/>
      <c r="AC14" s="951"/>
      <c r="AD14" s="941">
        <f>AD13+AA14</f>
        <v>652931</v>
      </c>
      <c r="AE14" s="942"/>
      <c r="AF14" s="943"/>
      <c r="AG14" s="17"/>
    </row>
    <row r="15" spans="1:33" ht="19.5" customHeight="1">
      <c r="A15" s="187">
        <v>7</v>
      </c>
      <c r="B15" s="286">
        <v>42614</v>
      </c>
      <c r="C15" s="192">
        <f t="shared" si="6"/>
        <v>22050</v>
      </c>
      <c r="D15" s="190">
        <f t="shared" si="4"/>
        <v>27563</v>
      </c>
      <c r="E15" s="191">
        <f t="shared" si="0"/>
        <v>4961</v>
      </c>
      <c r="F15" s="190">
        <f t="shared" si="1"/>
        <v>2205</v>
      </c>
      <c r="G15" s="192">
        <f t="shared" si="5"/>
        <v>0</v>
      </c>
      <c r="H15" s="192">
        <f t="shared" si="5"/>
        <v>0</v>
      </c>
      <c r="I15" s="192">
        <v>0</v>
      </c>
      <c r="J15" s="192">
        <v>0</v>
      </c>
      <c r="K15" s="190">
        <f t="shared" si="2"/>
        <v>0</v>
      </c>
      <c r="L15" s="190">
        <v>0</v>
      </c>
      <c r="M15" s="190">
        <v>0</v>
      </c>
      <c r="N15" s="190">
        <v>0</v>
      </c>
      <c r="O15" s="190">
        <v>0</v>
      </c>
      <c r="P15" s="193">
        <v>0</v>
      </c>
      <c r="Q15" s="290">
        <f t="shared" si="3"/>
        <v>51818</v>
      </c>
      <c r="R15" s="50"/>
      <c r="S15" s="992" t="s">
        <v>20</v>
      </c>
      <c r="T15" s="993"/>
      <c r="U15" s="993"/>
      <c r="V15" s="993"/>
      <c r="W15" s="993"/>
      <c r="X15" s="993"/>
      <c r="Y15" s="993"/>
      <c r="Z15" s="993"/>
      <c r="AA15" s="993"/>
      <c r="AB15" s="993"/>
      <c r="AC15" s="993"/>
      <c r="AD15" s="941">
        <f>AD14</f>
        <v>652931</v>
      </c>
      <c r="AE15" s="942"/>
      <c r="AF15" s="943"/>
      <c r="AG15" s="17"/>
    </row>
    <row r="16" spans="1:33" ht="19.5" customHeight="1">
      <c r="A16" s="187">
        <v>8</v>
      </c>
      <c r="B16" s="286">
        <v>42644</v>
      </c>
      <c r="C16" s="192">
        <f t="shared" si="6"/>
        <v>22050</v>
      </c>
      <c r="D16" s="190">
        <f>ROUND(C16*131%,0)</f>
        <v>28886</v>
      </c>
      <c r="E16" s="191">
        <f t="shared" si="0"/>
        <v>5094</v>
      </c>
      <c r="F16" s="190">
        <f t="shared" si="1"/>
        <v>2205</v>
      </c>
      <c r="G16" s="192">
        <f t="shared" si="5"/>
        <v>0</v>
      </c>
      <c r="H16" s="192">
        <f t="shared" si="5"/>
        <v>0</v>
      </c>
      <c r="I16" s="192">
        <v>0</v>
      </c>
      <c r="J16" s="192">
        <v>0</v>
      </c>
      <c r="K16" s="190">
        <f t="shared" si="2"/>
        <v>0</v>
      </c>
      <c r="L16" s="190">
        <v>0</v>
      </c>
      <c r="M16" s="190">
        <v>0</v>
      </c>
      <c r="N16" s="190">
        <v>0</v>
      </c>
      <c r="O16" s="190">
        <v>0</v>
      </c>
      <c r="P16" s="193">
        <v>0</v>
      </c>
      <c r="Q16" s="290">
        <f t="shared" si="3"/>
        <v>53141</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22050</v>
      </c>
      <c r="D17" s="190">
        <f>ROUND(C17*131%,0)</f>
        <v>28886</v>
      </c>
      <c r="E17" s="191">
        <f t="shared" si="0"/>
        <v>5094</v>
      </c>
      <c r="F17" s="190">
        <f t="shared" si="1"/>
        <v>2205</v>
      </c>
      <c r="G17" s="192">
        <f t="shared" si="5"/>
        <v>0</v>
      </c>
      <c r="H17" s="192">
        <f t="shared" si="5"/>
        <v>0</v>
      </c>
      <c r="I17" s="192">
        <v>0</v>
      </c>
      <c r="J17" s="192">
        <v>0</v>
      </c>
      <c r="K17" s="190">
        <f t="shared" si="2"/>
        <v>0</v>
      </c>
      <c r="L17" s="190">
        <v>0</v>
      </c>
      <c r="M17" s="190">
        <v>0</v>
      </c>
      <c r="N17" s="190">
        <v>0</v>
      </c>
      <c r="O17" s="190">
        <v>0</v>
      </c>
      <c r="P17" s="193">
        <v>0</v>
      </c>
      <c r="Q17" s="290">
        <f t="shared" si="3"/>
        <v>53141</v>
      </c>
      <c r="R17" s="50"/>
      <c r="S17" s="954" t="s">
        <v>157</v>
      </c>
      <c r="T17" s="833"/>
      <c r="U17" s="833"/>
      <c r="V17" s="951">
        <f>IF('Emp.-Detail'!F22="NO",F37,0)</f>
        <v>7821</v>
      </c>
      <c r="W17" s="951"/>
      <c r="X17" s="833" t="s">
        <v>167</v>
      </c>
      <c r="Y17" s="833"/>
      <c r="Z17" s="833"/>
      <c r="AA17" s="833"/>
      <c r="AB17" s="833"/>
      <c r="AC17" s="833"/>
      <c r="AD17" s="831">
        <f>F45</f>
        <v>0</v>
      </c>
      <c r="AE17" s="831"/>
      <c r="AF17" s="955"/>
      <c r="AG17" s="17"/>
    </row>
    <row r="18" spans="1:34" ht="19.5" customHeight="1">
      <c r="A18" s="187">
        <v>10</v>
      </c>
      <c r="B18" s="286">
        <v>42705</v>
      </c>
      <c r="C18" s="192">
        <f t="shared" si="6"/>
        <v>22050</v>
      </c>
      <c r="D18" s="190">
        <f>ROUND(C18*131%,0)</f>
        <v>28886</v>
      </c>
      <c r="E18" s="191">
        <f t="shared" si="0"/>
        <v>5094</v>
      </c>
      <c r="F18" s="190">
        <f t="shared" si="1"/>
        <v>2205</v>
      </c>
      <c r="G18" s="192">
        <f t="shared" si="5"/>
        <v>0</v>
      </c>
      <c r="H18" s="192">
        <f t="shared" si="5"/>
        <v>0</v>
      </c>
      <c r="I18" s="192">
        <v>0</v>
      </c>
      <c r="J18" s="192">
        <v>0</v>
      </c>
      <c r="K18" s="190">
        <f t="shared" si="2"/>
        <v>0</v>
      </c>
      <c r="L18" s="190">
        <v>0</v>
      </c>
      <c r="M18" s="190">
        <v>0</v>
      </c>
      <c r="N18" s="190">
        <v>0</v>
      </c>
      <c r="O18" s="190">
        <v>0</v>
      </c>
      <c r="P18" s="193">
        <v>0</v>
      </c>
      <c r="Q18" s="290">
        <f t="shared" si="3"/>
        <v>53141</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22050</v>
      </c>
      <c r="D19" s="190">
        <f>ROUND(C19*131%,0)</f>
        <v>28886</v>
      </c>
      <c r="E19" s="191">
        <f t="shared" si="0"/>
        <v>5094</v>
      </c>
      <c r="F19" s="190">
        <f t="shared" si="1"/>
        <v>2205</v>
      </c>
      <c r="G19" s="192">
        <f t="shared" si="5"/>
        <v>0</v>
      </c>
      <c r="H19" s="192">
        <f t="shared" si="5"/>
        <v>0</v>
      </c>
      <c r="I19" s="192">
        <v>0</v>
      </c>
      <c r="J19" s="192">
        <v>0</v>
      </c>
      <c r="K19" s="190">
        <f t="shared" si="2"/>
        <v>0</v>
      </c>
      <c r="L19" s="190">
        <v>0</v>
      </c>
      <c r="M19" s="190">
        <v>0</v>
      </c>
      <c r="N19" s="190">
        <v>0</v>
      </c>
      <c r="O19" s="190">
        <v>0</v>
      </c>
      <c r="P19" s="193">
        <v>0</v>
      </c>
      <c r="Q19" s="290">
        <f t="shared" si="3"/>
        <v>53141</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22050</v>
      </c>
      <c r="D20" s="190">
        <f>ROUND(C20*131%,0)</f>
        <v>28886</v>
      </c>
      <c r="E20" s="191">
        <f t="shared" si="0"/>
        <v>5094</v>
      </c>
      <c r="F20" s="190">
        <f t="shared" si="1"/>
        <v>2205</v>
      </c>
      <c r="G20" s="192">
        <f t="shared" si="5"/>
        <v>0</v>
      </c>
      <c r="H20" s="192">
        <f t="shared" si="5"/>
        <v>0</v>
      </c>
      <c r="I20" s="192">
        <v>0</v>
      </c>
      <c r="J20" s="192">
        <v>0</v>
      </c>
      <c r="K20" s="190">
        <f t="shared" si="2"/>
        <v>0</v>
      </c>
      <c r="L20" s="190">
        <v>0</v>
      </c>
      <c r="M20" s="190">
        <v>0</v>
      </c>
      <c r="N20" s="190">
        <v>0</v>
      </c>
      <c r="O20" s="190">
        <v>0</v>
      </c>
      <c r="P20" s="193">
        <v>0</v>
      </c>
      <c r="Q20" s="290">
        <f t="shared" si="3"/>
        <v>53141</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262000</v>
      </c>
      <c r="D21" s="287">
        <f>SUM(D9:D20)</f>
        <v>332835</v>
      </c>
      <c r="E21" s="288">
        <f>SUM(E9:E20)</f>
        <v>59485</v>
      </c>
      <c r="F21" s="287">
        <f>SUM(F9:F20)</f>
        <v>26200</v>
      </c>
      <c r="G21" s="287">
        <f t="shared" si="7"/>
        <v>0</v>
      </c>
      <c r="H21" s="287">
        <f>SUM(H9:H20)</f>
        <v>0</v>
      </c>
      <c r="I21" s="287">
        <f t="shared" si="7"/>
        <v>3852</v>
      </c>
      <c r="J21" s="287">
        <f t="shared" si="7"/>
        <v>3969</v>
      </c>
      <c r="K21" s="287">
        <f>SUM(K9:K20)</f>
        <v>782</v>
      </c>
      <c r="L21" s="287">
        <f t="shared" si="7"/>
        <v>24075</v>
      </c>
      <c r="M21" s="287">
        <f t="shared" si="7"/>
        <v>0</v>
      </c>
      <c r="N21" s="287">
        <f t="shared" si="7"/>
        <v>0</v>
      </c>
      <c r="O21" s="287">
        <f>SUM(O9:O20)</f>
        <v>0</v>
      </c>
      <c r="P21" s="289">
        <f>SUM(P9:P20)</f>
        <v>0</v>
      </c>
      <c r="Q21" s="84">
        <f>SUM(Q9:Q20)</f>
        <v>652931</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IF('Emp.-Detail'!F22="yes",E9)+IF('Emp.-Detail'!F22="NO",0)</f>
        <v>0</v>
      </c>
      <c r="D25" s="192">
        <f>IF('Emp.-Detail'!F22="YES",K9)+IF('Emp.-Detail'!F22="NO",I9,0)</f>
        <v>3852</v>
      </c>
      <c r="E25" s="195"/>
      <c r="F25" s="287">
        <f>SUM(C25:D25)</f>
        <v>3852</v>
      </c>
      <c r="G25" s="192">
        <v>0</v>
      </c>
      <c r="H25" s="194">
        <v>0</v>
      </c>
      <c r="I25" s="192">
        <v>3000</v>
      </c>
      <c r="J25" s="195">
        <v>0</v>
      </c>
      <c r="K25" s="195"/>
      <c r="L25" s="195">
        <v>0</v>
      </c>
      <c r="M25" s="196">
        <v>595</v>
      </c>
      <c r="N25" s="196">
        <v>0</v>
      </c>
      <c r="O25" s="196">
        <v>2000</v>
      </c>
      <c r="P25" s="192">
        <v>0</v>
      </c>
      <c r="Q25" s="297">
        <f>SUM(F25:P25)</f>
        <v>9447</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IF('Emp.-Detail'!F22="yes",E10)+IF('Emp.-Detail'!F22="NO",0)</f>
        <v>0</v>
      </c>
      <c r="D26" s="192">
        <f>IF('Emp.-Detail'!F22="YES",K10)+IF('Emp.-Detail'!F22="NO",I10,0)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2000</v>
      </c>
      <c r="P26" s="194">
        <f>'Emp.-Detail'!AB9+'Emp.-Detail'!AB9*14.5%</f>
        <v>251.9</v>
      </c>
      <c r="Q26" s="297">
        <f t="shared" ref="Q26:Q36" si="11">SUM(F26:P26)</f>
        <v>5846.9</v>
      </c>
      <c r="R26" s="50"/>
      <c r="S26" s="1089" t="s">
        <v>279</v>
      </c>
      <c r="T26" s="1090"/>
      <c r="U26" s="1090"/>
      <c r="V26" s="1090"/>
      <c r="W26" s="1090"/>
      <c r="X26" s="1090"/>
      <c r="Y26" s="1090"/>
      <c r="Z26" s="1090"/>
      <c r="AA26" s="1091"/>
      <c r="AB26" s="942">
        <f>SUM(V17:V25)+SUM(AD17:AD25)</f>
        <v>44041</v>
      </c>
      <c r="AC26" s="957"/>
      <c r="AD26" s="1135">
        <f>IF(AB26&lt;=150000,AB26,150000)+AD25</f>
        <v>44041</v>
      </c>
      <c r="AE26" s="1136"/>
      <c r="AF26" s="1137"/>
      <c r="AG26" s="17"/>
    </row>
    <row r="27" spans="1:34" ht="19.5" customHeight="1">
      <c r="A27" s="187">
        <v>3</v>
      </c>
      <c r="B27" s="296">
        <f t="shared" si="8"/>
        <v>42491</v>
      </c>
      <c r="C27" s="192">
        <f>IF('Emp.-Detail'!F22="yes",E11)+IF('Emp.-Detail'!F22="NO",0)</f>
        <v>0</v>
      </c>
      <c r="D27" s="192">
        <f>IF('Emp.-Detail'!F22="YES",K11)+IF('Emp.-Detail'!F22="NO",I11,0)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2000</v>
      </c>
      <c r="P27" s="192">
        <v>0</v>
      </c>
      <c r="Q27" s="297">
        <f t="shared" si="11"/>
        <v>5595</v>
      </c>
      <c r="R27" s="50"/>
      <c r="S27" s="1085" t="s">
        <v>592</v>
      </c>
      <c r="T27" s="1086"/>
      <c r="U27" s="1086"/>
      <c r="V27" s="1086"/>
      <c r="W27" s="1086"/>
      <c r="X27" s="1086"/>
      <c r="Y27" s="1086"/>
      <c r="Z27" s="1086"/>
      <c r="AA27" s="1086"/>
      <c r="AB27" s="1087">
        <f>AB5</f>
        <v>0</v>
      </c>
      <c r="AC27" s="1088"/>
      <c r="AD27" s="831">
        <f>AD15-(AD26+AB5)</f>
        <v>608890</v>
      </c>
      <c r="AE27" s="831"/>
      <c r="AF27" s="955"/>
      <c r="AG27" s="17"/>
    </row>
    <row r="28" spans="1:34" ht="19.5" customHeight="1">
      <c r="A28" s="187">
        <v>4</v>
      </c>
      <c r="B28" s="296">
        <f t="shared" si="8"/>
        <v>42522</v>
      </c>
      <c r="C28" s="192">
        <f>IF('Emp.-Detail'!F22="yes",E12)+IF('Emp.-Detail'!F22="NO",0)</f>
        <v>0</v>
      </c>
      <c r="D28" s="192">
        <f>IF('Emp.-Detail'!F22="YES",K12)+IF('Emp.-Detail'!F22="NO",I12,0)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2000</v>
      </c>
      <c r="P28" s="192">
        <v>0</v>
      </c>
      <c r="Q28" s="297">
        <f t="shared" si="11"/>
        <v>5595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IF('Emp.-Detail'!F22="yes",E13)+IF('Emp.-Detail'!F22="NO",0)</f>
        <v>0</v>
      </c>
      <c r="D29" s="192">
        <f>IF('Emp.-Detail'!F22="YES",K13)+IF('Emp.-Detail'!F22="NO",I13,0)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2000</v>
      </c>
      <c r="P29" s="192">
        <v>0</v>
      </c>
      <c r="Q29" s="297">
        <f t="shared" si="11"/>
        <v>5595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IF('Emp.-Detail'!F22="yes",E14)+IF('Emp.-Detail'!F22="NO",0)</f>
        <v>0</v>
      </c>
      <c r="D30" s="192">
        <f>IF('Emp.-Detail'!F22="YES",K14)+IF('Emp.-Detail'!F22="NO",J14,0)</f>
        <v>3969</v>
      </c>
      <c r="E30" s="195"/>
      <c r="F30" s="287">
        <f t="shared" si="9"/>
        <v>3969</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2000</v>
      </c>
      <c r="P30" s="192">
        <v>0</v>
      </c>
      <c r="Q30" s="297">
        <f t="shared" si="11"/>
        <v>9564</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IF('Emp.-Detail'!F22="yes",E15)+IF('Emp.-Detail'!F22="NO",0)</f>
        <v>0</v>
      </c>
      <c r="D31" s="192">
        <f>IF('Emp.-Detail'!F22="YES",K15)+IF('Emp.-Detail'!F22="NO",J15,0)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2000</v>
      </c>
      <c r="P31" s="192">
        <v>0</v>
      </c>
      <c r="Q31" s="297">
        <f t="shared" si="11"/>
        <v>5595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IF('Emp.-Detail'!F22="yes",E16)+IF('Emp.-Detail'!F22="NO",0)</f>
        <v>0</v>
      </c>
      <c r="D32" s="192">
        <f>IF('Emp.-Detail'!F22="YES",K16)+IF('Emp.-Detail'!F22="NO",J16,0)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2000</v>
      </c>
      <c r="P32" s="192">
        <v>0</v>
      </c>
      <c r="Q32" s="297">
        <f t="shared" si="11"/>
        <v>5595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IF('Emp.-Detail'!F22="yes",E17)+IF('Emp.-Detail'!F22="NO",0)</f>
        <v>0</v>
      </c>
      <c r="D33" s="192">
        <f>IF('Emp.-Detail'!F22="YES",K17)+IF('Emp.-Detail'!F22="NO",J17,0)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2000</v>
      </c>
      <c r="P33" s="192">
        <v>0</v>
      </c>
      <c r="Q33" s="297">
        <f t="shared" si="11"/>
        <v>5595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IF('Emp.-Detail'!F22="yes",E18)+IF('Emp.-Detail'!F22="NO",0)</f>
        <v>0</v>
      </c>
      <c r="D34" s="192">
        <f>IF('Emp.-Detail'!F22="YES",K18)+IF('Emp.-Detail'!F22="NO",J18,0)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2000</v>
      </c>
      <c r="P34" s="192">
        <v>0</v>
      </c>
      <c r="Q34" s="297">
        <f t="shared" si="11"/>
        <v>5595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IF('Emp.-Detail'!F22="yes",E19)+IF('Emp.-Detail'!F22="NO",0)</f>
        <v>0</v>
      </c>
      <c r="D35" s="192">
        <f>IF('Emp.-Detail'!F22="YES",K19)+IF('Emp.-Detail'!F22="NO",J19,0)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2000</v>
      </c>
      <c r="P35" s="192">
        <v>0</v>
      </c>
      <c r="Q35" s="297">
        <f t="shared" si="11"/>
        <v>5595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IF('Emp.-Detail'!F22="yes",E20)+IF('Emp.-Detail'!F22="NO",0)</f>
        <v>0</v>
      </c>
      <c r="D36" s="192">
        <f>IF('Emp.-Detail'!F22="YES",K20)+IF('Emp.-Detail'!F22="NO",J20,0)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2000</v>
      </c>
      <c r="P36" s="192">
        <v>0</v>
      </c>
      <c r="Q36" s="297">
        <f t="shared" si="11"/>
        <v>5595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7821</v>
      </c>
      <c r="E37" s="306"/>
      <c r="F37" s="307">
        <f t="shared" si="9"/>
        <v>7821</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24000</v>
      </c>
      <c r="P37" s="288">
        <f t="shared" si="12"/>
        <v>251.9</v>
      </c>
      <c r="Q37" s="305">
        <f t="shared" si="12"/>
        <v>75212.899999999994</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652931</v>
      </c>
      <c r="D38" s="860"/>
      <c r="E38" s="309"/>
      <c r="F38" s="310"/>
      <c r="G38" s="1001" t="s">
        <v>13</v>
      </c>
      <c r="H38" s="1001"/>
      <c r="I38" s="1001"/>
      <c r="J38" s="860">
        <f>Q37</f>
        <v>75212.899999999994</v>
      </c>
      <c r="K38" s="860"/>
      <c r="L38" s="860"/>
      <c r="M38" s="310"/>
      <c r="N38" s="998" t="s">
        <v>15</v>
      </c>
      <c r="O38" s="998"/>
      <c r="P38" s="860">
        <f>Q21-Q37</f>
        <v>577718.1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608890</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608890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46778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46778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936</v>
      </c>
      <c r="V43" s="949"/>
      <c r="W43" s="949"/>
      <c r="X43" s="1067" t="s">
        <v>84</v>
      </c>
      <c r="Y43" s="1067"/>
      <c r="Z43" s="1067"/>
      <c r="AA43" s="953">
        <f>ROUND((AD42*1%),0)</f>
        <v>468</v>
      </c>
      <c r="AB43" s="953"/>
      <c r="AC43" s="953"/>
      <c r="AD43" s="951">
        <f>U43+AA43</f>
        <v>1404</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48182</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IF('Emp.-Detail'!F22="NO",0,ROUND(E21+K21,0))</f>
        <v>0</v>
      </c>
      <c r="Q46" s="943"/>
      <c r="R46" s="22"/>
      <c r="S46" s="1071" t="s">
        <v>87</v>
      </c>
      <c r="T46" s="1072"/>
      <c r="U46" s="1072"/>
      <c r="V46" s="1072"/>
      <c r="W46" s="1072"/>
      <c r="X46" s="1072"/>
      <c r="Y46" s="1072"/>
      <c r="Z46" s="1072"/>
      <c r="AA46" s="1072"/>
      <c r="AB46" s="1072"/>
      <c r="AC46" s="1072"/>
      <c r="AD46" s="796">
        <f>AD44-AD45</f>
        <v>48182</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24182</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 xml:space="preserve">GOVIND RAM BHATI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652931</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652931</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652931</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 xml:space="preserve">GOVIND RAM BHATI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ASHPR1636E</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9672695074</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652931</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'Emp.-Detail'!O22</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7821</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177513</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157895</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158100</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159423</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652931</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44041</v>
      </c>
      <c r="AC81" s="1113"/>
      <c r="AD81" s="773">
        <f>AD26</f>
        <v>44041</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'Emp.-Detail'!N22</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'Emp.-Detail'!N22</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'Emp.-Detail'!N22</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'Emp.-Detail'!J22</f>
        <v>0</v>
      </c>
      <c r="C87" s="788"/>
      <c r="D87" s="776"/>
      <c r="E87" s="257"/>
      <c r="F87" s="1233" t="str">
        <f>'Emp.-Detail'!K22</f>
        <v>0</v>
      </c>
      <c r="G87" s="791"/>
      <c r="H87" s="791"/>
      <c r="I87" s="792"/>
      <c r="J87" s="810" t="str">
        <f>'Emp.-Detail'!L22</f>
        <v>00/00/0000</v>
      </c>
      <c r="K87" s="811"/>
      <c r="L87" s="811"/>
      <c r="M87" s="812"/>
      <c r="N87" s="1233" t="str">
        <f>'Emp.-Detail'!M22</f>
        <v>00</v>
      </c>
      <c r="O87" s="792"/>
      <c r="P87" s="793" t="str">
        <f>'Emp.-Detail'!N22</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44041</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608890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46778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1404</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48182</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48182</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652931</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652931</v>
      </c>
      <c r="P104" s="776"/>
      <c r="Q104" s="258">
        <f>O104</f>
        <v>652931</v>
      </c>
      <c r="R104" s="235"/>
      <c r="S104" s="254"/>
      <c r="T104" s="229" t="str">
        <f>'DDO '!L10</f>
        <v>PRINCIPAL</v>
      </c>
      <c r="U104" s="229"/>
      <c r="V104" s="780" t="s">
        <v>51</v>
      </c>
      <c r="W104" s="780"/>
      <c r="X104" s="780"/>
      <c r="Y104" s="780"/>
      <c r="Z104" s="770">
        <f>AD100</f>
        <v>48182</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FOURTY  EIGHT  Thousand  ONE  Hundred  EIGHTY  TWO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652931</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652931</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652931</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7"/>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19.xml><?xml version="1.0" encoding="utf-8"?>
<worksheet xmlns="http://schemas.openxmlformats.org/spreadsheetml/2006/main" xmlns:r="http://schemas.openxmlformats.org/officeDocument/2006/relationships">
  <dimension ref="A1:AJ150"/>
  <sheetViews>
    <sheetView view="pageBreakPreview" topLeftCell="A15" zoomScaleSheetLayoutView="100" workbookViewId="0">
      <selection activeCell="L25" sqref="L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RAJ KUMAR TANWAR</v>
      </c>
      <c r="T3" s="538"/>
      <c r="U3" s="538"/>
      <c r="V3" s="538"/>
      <c r="W3" s="949" t="str">
        <f>P4</f>
        <v>Lab. Asist.</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'Emp.-Detail'!B23</f>
        <v>RAJ KUMAR TANWAR</v>
      </c>
      <c r="E4" s="949"/>
      <c r="F4" s="949"/>
      <c r="G4" s="949"/>
      <c r="H4" s="949"/>
      <c r="I4" s="854"/>
      <c r="J4" s="1185">
        <f>'Emp.-Detail'!A23</f>
        <v>15</v>
      </c>
      <c r="K4" s="1186"/>
      <c r="L4" s="1187"/>
      <c r="M4" s="982" t="s">
        <v>8</v>
      </c>
      <c r="N4" s="833"/>
      <c r="O4" s="833"/>
      <c r="P4" s="949" t="str">
        <f>'Emp.-Detail'!C23</f>
        <v>Lab. Asist.</v>
      </c>
      <c r="Q4" s="950"/>
      <c r="R4" s="50"/>
      <c r="S4" s="1250" t="str">
        <f>D5</f>
        <v>ACPPT9605F</v>
      </c>
      <c r="T4" s="538"/>
      <c r="U4" s="538"/>
      <c r="V4" s="538"/>
      <c r="W4" s="959" t="str">
        <f>'Emp.-Detail'!H23</f>
        <v>51095136792</v>
      </c>
      <c r="X4" s="949"/>
      <c r="Y4" s="949"/>
      <c r="Z4" s="949"/>
      <c r="AA4" s="949" t="str">
        <f>'Emp.-Detail'!I23</f>
        <v>SBBJ, Sujangarh</v>
      </c>
      <c r="AB4" s="949"/>
      <c r="AC4" s="949"/>
      <c r="AD4" s="949"/>
      <c r="AE4" s="949"/>
      <c r="AF4" s="950"/>
      <c r="AG4" s="17"/>
    </row>
    <row r="5" spans="1:33" ht="19.5" customHeight="1" thickBot="1">
      <c r="A5" s="954" t="s">
        <v>135</v>
      </c>
      <c r="B5" s="833"/>
      <c r="C5" s="833"/>
      <c r="D5" s="949" t="str">
        <f>'Emp.-Detail'!D23</f>
        <v>ACPPT9605F</v>
      </c>
      <c r="E5" s="949"/>
      <c r="F5" s="949"/>
      <c r="G5" s="949"/>
      <c r="H5" s="949"/>
      <c r="I5" s="854"/>
      <c r="J5" s="1188"/>
      <c r="K5" s="1189"/>
      <c r="L5" s="1190"/>
      <c r="M5" s="982" t="s">
        <v>137</v>
      </c>
      <c r="N5" s="833"/>
      <c r="O5" s="833"/>
      <c r="P5" s="959">
        <f>'Emp.-Detail'!G23</f>
        <v>9461250476</v>
      </c>
      <c r="Q5" s="950"/>
      <c r="R5" s="50"/>
      <c r="S5" s="974" t="s">
        <v>203</v>
      </c>
      <c r="T5" s="975"/>
      <c r="U5" s="975"/>
      <c r="V5" s="975"/>
      <c r="W5" s="951">
        <f>SUM(Q9:Q20)</f>
        <v>694814</v>
      </c>
      <c r="X5" s="951"/>
      <c r="Y5" s="1248" t="s">
        <v>202</v>
      </c>
      <c r="Z5" s="1249"/>
      <c r="AA5" s="1088"/>
      <c r="AB5" s="951">
        <f>P46</f>
        <v>0</v>
      </c>
      <c r="AC5" s="949"/>
      <c r="AD5" s="941">
        <f>W5+AB5</f>
        <v>694814</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694814</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694814</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694814</v>
      </c>
      <c r="AE8" s="942"/>
      <c r="AF8" s="943"/>
      <c r="AG8" s="17"/>
    </row>
    <row r="9" spans="1:33" ht="19.5" customHeight="1">
      <c r="A9" s="285">
        <v>1</v>
      </c>
      <c r="B9" s="286">
        <v>42430</v>
      </c>
      <c r="C9" s="190">
        <f>'Emp.-Detail'!E23</f>
        <v>23650</v>
      </c>
      <c r="D9" s="190">
        <f>ROUND(C9*119%,0)</f>
        <v>28144</v>
      </c>
      <c r="E9" s="191">
        <f>ROUND((C9+D9)*10%,0)</f>
        <v>5179</v>
      </c>
      <c r="F9" s="190">
        <f>ROUND(C9*10%,0)</f>
        <v>2365</v>
      </c>
      <c r="G9" s="190">
        <v>0</v>
      </c>
      <c r="H9" s="190">
        <v>0</v>
      </c>
      <c r="I9" s="192">
        <f>ROUND(C9*6%,0)*3</f>
        <v>4257</v>
      </c>
      <c r="J9" s="190">
        <v>0</v>
      </c>
      <c r="K9" s="190">
        <f>ROUND((I9+J9)*10%,0)</f>
        <v>426</v>
      </c>
      <c r="L9" s="190">
        <v>0</v>
      </c>
      <c r="M9" s="190">
        <v>0</v>
      </c>
      <c r="N9" s="190">
        <v>0</v>
      </c>
      <c r="O9" s="190">
        <v>0</v>
      </c>
      <c r="P9" s="193">
        <v>0</v>
      </c>
      <c r="Q9" s="290">
        <f>C9+D9+F9+G9+H9+I9+J9+L9+M9+N9+O9</f>
        <v>58416</v>
      </c>
      <c r="R9" s="282"/>
      <c r="S9" s="984" t="s">
        <v>144</v>
      </c>
      <c r="T9" s="985"/>
      <c r="U9" s="985"/>
      <c r="V9" s="985"/>
      <c r="W9" s="985"/>
      <c r="X9" s="985"/>
      <c r="Y9" s="985"/>
      <c r="Z9" s="971" t="s">
        <v>18</v>
      </c>
      <c r="AA9" s="971"/>
      <c r="AB9" s="967">
        <f>O49</f>
        <v>0</v>
      </c>
      <c r="AC9" s="968"/>
      <c r="AD9" s="977">
        <f>AD8+AB9</f>
        <v>694814</v>
      </c>
      <c r="AE9" s="978"/>
      <c r="AF9" s="979"/>
      <c r="AG9" s="17"/>
    </row>
    <row r="10" spans="1:33" ht="19.5" customHeight="1">
      <c r="A10" s="187">
        <v>2</v>
      </c>
      <c r="B10" s="286">
        <v>42461</v>
      </c>
      <c r="C10" s="192">
        <f>C9</f>
        <v>23650</v>
      </c>
      <c r="D10" s="190">
        <f>ROUND(C10*125%,0)</f>
        <v>29563</v>
      </c>
      <c r="E10" s="191">
        <f t="shared" ref="E10:E20" si="0">ROUND((C10+D10)*10%,0)</f>
        <v>5321</v>
      </c>
      <c r="F10" s="190">
        <f t="shared" ref="F10:F20" si="1">ROUND(C10*10%,0)</f>
        <v>2365</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55578</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23650</v>
      </c>
      <c r="D11" s="190">
        <f t="shared" ref="D11:D15" si="4">ROUND(C11*125%,0)</f>
        <v>29563</v>
      </c>
      <c r="E11" s="191">
        <f t="shared" si="0"/>
        <v>5321</v>
      </c>
      <c r="F11" s="190">
        <f t="shared" si="1"/>
        <v>2365</v>
      </c>
      <c r="G11" s="192">
        <f t="shared" ref="G11:H20" si="5">G10</f>
        <v>0</v>
      </c>
      <c r="H11" s="192">
        <f t="shared" si="5"/>
        <v>0</v>
      </c>
      <c r="I11" s="192">
        <v>0</v>
      </c>
      <c r="J11" s="190">
        <v>0</v>
      </c>
      <c r="K11" s="190">
        <f t="shared" si="2"/>
        <v>0</v>
      </c>
      <c r="L11" s="190">
        <v>0</v>
      </c>
      <c r="M11" s="190">
        <v>0</v>
      </c>
      <c r="N11" s="190">
        <v>0</v>
      </c>
      <c r="O11" s="190">
        <v>0</v>
      </c>
      <c r="P11" s="193">
        <v>0</v>
      </c>
      <c r="Q11" s="290">
        <f t="shared" si="3"/>
        <v>55578</v>
      </c>
      <c r="R11" s="50"/>
      <c r="S11" s="292" t="s">
        <v>146</v>
      </c>
      <c r="T11" s="958">
        <f>O50</f>
        <v>0</v>
      </c>
      <c r="U11" s="948"/>
      <c r="V11" s="980">
        <f>O51</f>
        <v>0</v>
      </c>
      <c r="W11" s="958"/>
      <c r="X11" s="948"/>
      <c r="Y11" s="980">
        <f>Q49</f>
        <v>0</v>
      </c>
      <c r="Z11" s="958"/>
      <c r="AA11" s="948"/>
      <c r="AB11" s="980">
        <f>T11+V11+Y11</f>
        <v>0</v>
      </c>
      <c r="AC11" s="948"/>
      <c r="AD11" s="941">
        <f>AD9-AB11</f>
        <v>694814</v>
      </c>
      <c r="AE11" s="942"/>
      <c r="AF11" s="943"/>
      <c r="AG11" s="17"/>
    </row>
    <row r="12" spans="1:33" ht="19.5" customHeight="1">
      <c r="A12" s="187">
        <v>4</v>
      </c>
      <c r="B12" s="286">
        <v>42522</v>
      </c>
      <c r="C12" s="192">
        <f>C11</f>
        <v>23650</v>
      </c>
      <c r="D12" s="190">
        <f t="shared" si="4"/>
        <v>29563</v>
      </c>
      <c r="E12" s="191">
        <f t="shared" si="0"/>
        <v>5321</v>
      </c>
      <c r="F12" s="190">
        <f t="shared" si="1"/>
        <v>2365</v>
      </c>
      <c r="G12" s="192">
        <f t="shared" si="5"/>
        <v>0</v>
      </c>
      <c r="H12" s="192">
        <f t="shared" si="5"/>
        <v>0</v>
      </c>
      <c r="I12" s="192">
        <v>0</v>
      </c>
      <c r="J12" s="190">
        <v>0</v>
      </c>
      <c r="K12" s="190">
        <f t="shared" si="2"/>
        <v>0</v>
      </c>
      <c r="L12" s="190">
        <v>0</v>
      </c>
      <c r="M12" s="190">
        <v>0</v>
      </c>
      <c r="N12" s="190">
        <v>0</v>
      </c>
      <c r="O12" s="190">
        <v>0</v>
      </c>
      <c r="P12" s="193">
        <v>0</v>
      </c>
      <c r="Q12" s="290">
        <f t="shared" si="3"/>
        <v>55578</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24360</v>
      </c>
      <c r="D13" s="190">
        <f t="shared" si="4"/>
        <v>30450</v>
      </c>
      <c r="E13" s="191">
        <f t="shared" si="0"/>
        <v>5481</v>
      </c>
      <c r="F13" s="190">
        <f t="shared" si="1"/>
        <v>2436</v>
      </c>
      <c r="G13" s="192">
        <f t="shared" si="5"/>
        <v>0</v>
      </c>
      <c r="H13" s="192">
        <f t="shared" si="5"/>
        <v>0</v>
      </c>
      <c r="I13" s="192">
        <v>0</v>
      </c>
      <c r="J13" s="190">
        <v>0</v>
      </c>
      <c r="K13" s="190">
        <f t="shared" si="2"/>
        <v>0</v>
      </c>
      <c r="L13" s="190">
        <v>0</v>
      </c>
      <c r="M13" s="190">
        <v>0</v>
      </c>
      <c r="N13" s="190">
        <v>0</v>
      </c>
      <c r="O13" s="190">
        <v>0</v>
      </c>
      <c r="P13" s="193">
        <v>0</v>
      </c>
      <c r="Q13" s="290">
        <f t="shared" si="3"/>
        <v>57246</v>
      </c>
      <c r="R13" s="70"/>
      <c r="S13" s="991">
        <f>O52</f>
        <v>0</v>
      </c>
      <c r="T13" s="948"/>
      <c r="U13" s="980">
        <f>O53</f>
        <v>0</v>
      </c>
      <c r="V13" s="948"/>
      <c r="W13" s="980">
        <f>O54</f>
        <v>0</v>
      </c>
      <c r="X13" s="948"/>
      <c r="Y13" s="980">
        <f>O55</f>
        <v>0</v>
      </c>
      <c r="Z13" s="958"/>
      <c r="AA13" s="958"/>
      <c r="AB13" s="951">
        <f>SUM(S13:AA13)</f>
        <v>0</v>
      </c>
      <c r="AC13" s="951"/>
      <c r="AD13" s="941">
        <f>AD11+AB13</f>
        <v>694814</v>
      </c>
      <c r="AE13" s="965"/>
      <c r="AF13" s="966"/>
      <c r="AG13" s="17"/>
    </row>
    <row r="14" spans="1:33" ht="19.5" customHeight="1">
      <c r="A14" s="187">
        <v>6</v>
      </c>
      <c r="B14" s="286">
        <v>42583</v>
      </c>
      <c r="C14" s="192">
        <f t="shared" ref="C14:C20" si="6">C13</f>
        <v>24360</v>
      </c>
      <c r="D14" s="190">
        <f>ROUND(C14*125%,0)</f>
        <v>30450</v>
      </c>
      <c r="E14" s="191">
        <f t="shared" si="0"/>
        <v>5481</v>
      </c>
      <c r="F14" s="190">
        <f t="shared" si="1"/>
        <v>2436</v>
      </c>
      <c r="G14" s="192">
        <f t="shared" si="5"/>
        <v>0</v>
      </c>
      <c r="H14" s="192">
        <f t="shared" si="5"/>
        <v>0</v>
      </c>
      <c r="I14" s="192">
        <v>0</v>
      </c>
      <c r="J14" s="192">
        <f>ROUND(C13*6%,0)*3</f>
        <v>4386</v>
      </c>
      <c r="K14" s="190">
        <f t="shared" si="2"/>
        <v>439</v>
      </c>
      <c r="L14" s="190">
        <v>0</v>
      </c>
      <c r="M14" s="190">
        <v>0</v>
      </c>
      <c r="N14" s="190">
        <v>0</v>
      </c>
      <c r="O14" s="190">
        <v>0</v>
      </c>
      <c r="P14" s="193">
        <v>0</v>
      </c>
      <c r="Q14" s="290">
        <f t="shared" si="3"/>
        <v>61632</v>
      </c>
      <c r="R14" s="50"/>
      <c r="S14" s="954" t="s">
        <v>19</v>
      </c>
      <c r="T14" s="833"/>
      <c r="U14" s="833"/>
      <c r="V14" s="833"/>
      <c r="W14" s="833"/>
      <c r="X14" s="833"/>
      <c r="Y14" s="833"/>
      <c r="Z14" s="833"/>
      <c r="AA14" s="951">
        <f>I55</f>
        <v>0</v>
      </c>
      <c r="AB14" s="951"/>
      <c r="AC14" s="951"/>
      <c r="AD14" s="941">
        <f>AD13+AA14</f>
        <v>694814</v>
      </c>
      <c r="AE14" s="942"/>
      <c r="AF14" s="943"/>
      <c r="AG14" s="17"/>
    </row>
    <row r="15" spans="1:33" ht="19.5" customHeight="1">
      <c r="A15" s="187">
        <v>7</v>
      </c>
      <c r="B15" s="286">
        <v>42614</v>
      </c>
      <c r="C15" s="192">
        <f t="shared" si="6"/>
        <v>24360</v>
      </c>
      <c r="D15" s="190">
        <f t="shared" si="4"/>
        <v>30450</v>
      </c>
      <c r="E15" s="191">
        <f t="shared" si="0"/>
        <v>5481</v>
      </c>
      <c r="F15" s="190">
        <f t="shared" si="1"/>
        <v>2436</v>
      </c>
      <c r="G15" s="192">
        <f t="shared" si="5"/>
        <v>0</v>
      </c>
      <c r="H15" s="192">
        <f t="shared" si="5"/>
        <v>0</v>
      </c>
      <c r="I15" s="192">
        <v>0</v>
      </c>
      <c r="J15" s="192">
        <v>0</v>
      </c>
      <c r="K15" s="190">
        <f t="shared" si="2"/>
        <v>0</v>
      </c>
      <c r="L15" s="190">
        <v>0</v>
      </c>
      <c r="M15" s="190">
        <v>0</v>
      </c>
      <c r="N15" s="190">
        <v>0</v>
      </c>
      <c r="O15" s="190">
        <v>0</v>
      </c>
      <c r="P15" s="193">
        <v>0</v>
      </c>
      <c r="Q15" s="290">
        <f t="shared" si="3"/>
        <v>57246</v>
      </c>
      <c r="R15" s="50"/>
      <c r="S15" s="992" t="s">
        <v>20</v>
      </c>
      <c r="T15" s="993"/>
      <c r="U15" s="993"/>
      <c r="V15" s="993"/>
      <c r="W15" s="993"/>
      <c r="X15" s="993"/>
      <c r="Y15" s="993"/>
      <c r="Z15" s="993"/>
      <c r="AA15" s="993"/>
      <c r="AB15" s="993"/>
      <c r="AC15" s="993"/>
      <c r="AD15" s="941">
        <f>AD14</f>
        <v>694814</v>
      </c>
      <c r="AE15" s="942"/>
      <c r="AF15" s="943"/>
      <c r="AG15" s="17"/>
    </row>
    <row r="16" spans="1:33" ht="19.5" customHeight="1">
      <c r="A16" s="187">
        <v>8</v>
      </c>
      <c r="B16" s="286">
        <v>42644</v>
      </c>
      <c r="C16" s="192">
        <f t="shared" si="6"/>
        <v>24360</v>
      </c>
      <c r="D16" s="190">
        <f>ROUND(C16*131%,0)</f>
        <v>31912</v>
      </c>
      <c r="E16" s="191">
        <f t="shared" si="0"/>
        <v>5627</v>
      </c>
      <c r="F16" s="190">
        <f t="shared" si="1"/>
        <v>2436</v>
      </c>
      <c r="G16" s="192">
        <f t="shared" si="5"/>
        <v>0</v>
      </c>
      <c r="H16" s="192">
        <f t="shared" si="5"/>
        <v>0</v>
      </c>
      <c r="I16" s="192">
        <v>0</v>
      </c>
      <c r="J16" s="192">
        <v>0</v>
      </c>
      <c r="K16" s="190">
        <f t="shared" si="2"/>
        <v>0</v>
      </c>
      <c r="L16" s="190">
        <v>0</v>
      </c>
      <c r="M16" s="190">
        <v>0</v>
      </c>
      <c r="N16" s="190">
        <v>0</v>
      </c>
      <c r="O16" s="190">
        <v>0</v>
      </c>
      <c r="P16" s="193">
        <v>0</v>
      </c>
      <c r="Q16" s="290">
        <f t="shared" si="3"/>
        <v>58708</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24360</v>
      </c>
      <c r="D17" s="190">
        <f>ROUND(C17*131%,0)</f>
        <v>31912</v>
      </c>
      <c r="E17" s="191">
        <f t="shared" si="0"/>
        <v>5627</v>
      </c>
      <c r="F17" s="190">
        <f t="shared" si="1"/>
        <v>2436</v>
      </c>
      <c r="G17" s="192">
        <f t="shared" si="5"/>
        <v>0</v>
      </c>
      <c r="H17" s="192">
        <f t="shared" si="5"/>
        <v>0</v>
      </c>
      <c r="I17" s="192">
        <v>0</v>
      </c>
      <c r="J17" s="192">
        <v>0</v>
      </c>
      <c r="K17" s="190">
        <f t="shared" si="2"/>
        <v>0</v>
      </c>
      <c r="L17" s="190">
        <v>0</v>
      </c>
      <c r="M17" s="190">
        <v>0</v>
      </c>
      <c r="N17" s="190">
        <v>0</v>
      </c>
      <c r="O17" s="190">
        <v>0</v>
      </c>
      <c r="P17" s="193">
        <v>0</v>
      </c>
      <c r="Q17" s="290">
        <f t="shared" si="3"/>
        <v>58708</v>
      </c>
      <c r="R17" s="50"/>
      <c r="S17" s="954" t="s">
        <v>157</v>
      </c>
      <c r="T17" s="833"/>
      <c r="U17" s="833"/>
      <c r="V17" s="951">
        <f>IF('Emp.-Detail'!F23="NO",F37,0)</f>
        <v>8643</v>
      </c>
      <c r="W17" s="951"/>
      <c r="X17" s="833" t="s">
        <v>167</v>
      </c>
      <c r="Y17" s="833"/>
      <c r="Z17" s="833"/>
      <c r="AA17" s="833"/>
      <c r="AB17" s="833"/>
      <c r="AC17" s="833"/>
      <c r="AD17" s="831">
        <f>F45</f>
        <v>0</v>
      </c>
      <c r="AE17" s="831"/>
      <c r="AF17" s="955"/>
      <c r="AG17" s="17"/>
    </row>
    <row r="18" spans="1:34" ht="19.5" customHeight="1">
      <c r="A18" s="187">
        <v>10</v>
      </c>
      <c r="B18" s="286">
        <v>42705</v>
      </c>
      <c r="C18" s="192">
        <f t="shared" si="6"/>
        <v>24360</v>
      </c>
      <c r="D18" s="190">
        <f>ROUND(C18*131%,0)</f>
        <v>31912</v>
      </c>
      <c r="E18" s="191">
        <f t="shared" si="0"/>
        <v>5627</v>
      </c>
      <c r="F18" s="190">
        <f t="shared" si="1"/>
        <v>2436</v>
      </c>
      <c r="G18" s="192">
        <f t="shared" si="5"/>
        <v>0</v>
      </c>
      <c r="H18" s="192">
        <f t="shared" si="5"/>
        <v>0</v>
      </c>
      <c r="I18" s="192">
        <v>0</v>
      </c>
      <c r="J18" s="192">
        <v>0</v>
      </c>
      <c r="K18" s="190">
        <f t="shared" si="2"/>
        <v>0</v>
      </c>
      <c r="L18" s="190">
        <v>0</v>
      </c>
      <c r="M18" s="190">
        <v>0</v>
      </c>
      <c r="N18" s="190">
        <v>0</v>
      </c>
      <c r="O18" s="190">
        <v>0</v>
      </c>
      <c r="P18" s="193">
        <v>0</v>
      </c>
      <c r="Q18" s="290">
        <f t="shared" si="3"/>
        <v>58708</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24360</v>
      </c>
      <c r="D19" s="190">
        <f>ROUND(C19*131%,0)</f>
        <v>31912</v>
      </c>
      <c r="E19" s="191">
        <f t="shared" si="0"/>
        <v>5627</v>
      </c>
      <c r="F19" s="190">
        <f t="shared" si="1"/>
        <v>2436</v>
      </c>
      <c r="G19" s="192">
        <f t="shared" si="5"/>
        <v>0</v>
      </c>
      <c r="H19" s="192">
        <f t="shared" si="5"/>
        <v>0</v>
      </c>
      <c r="I19" s="192">
        <v>0</v>
      </c>
      <c r="J19" s="192">
        <v>0</v>
      </c>
      <c r="K19" s="190">
        <f t="shared" si="2"/>
        <v>0</v>
      </c>
      <c r="L19" s="190">
        <v>0</v>
      </c>
      <c r="M19" s="190">
        <v>0</v>
      </c>
      <c r="N19" s="190">
        <v>0</v>
      </c>
      <c r="O19" s="190">
        <v>0</v>
      </c>
      <c r="P19" s="193">
        <v>0</v>
      </c>
      <c r="Q19" s="290">
        <f t="shared" si="3"/>
        <v>58708</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24360</v>
      </c>
      <c r="D20" s="190">
        <f>ROUND(C20*131%,0)</f>
        <v>31912</v>
      </c>
      <c r="E20" s="191">
        <f t="shared" si="0"/>
        <v>5627</v>
      </c>
      <c r="F20" s="190">
        <f t="shared" si="1"/>
        <v>2436</v>
      </c>
      <c r="G20" s="192">
        <f t="shared" si="5"/>
        <v>0</v>
      </c>
      <c r="H20" s="192">
        <f t="shared" si="5"/>
        <v>0</v>
      </c>
      <c r="I20" s="192">
        <v>0</v>
      </c>
      <c r="J20" s="192">
        <v>0</v>
      </c>
      <c r="K20" s="190">
        <f t="shared" si="2"/>
        <v>0</v>
      </c>
      <c r="L20" s="190">
        <v>0</v>
      </c>
      <c r="M20" s="190">
        <v>0</v>
      </c>
      <c r="N20" s="190">
        <v>0</v>
      </c>
      <c r="O20" s="190">
        <v>0</v>
      </c>
      <c r="P20" s="193">
        <v>0</v>
      </c>
      <c r="Q20" s="290">
        <f t="shared" si="3"/>
        <v>58708</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289480</v>
      </c>
      <c r="D21" s="287">
        <f>SUM(D9:D20)</f>
        <v>367743</v>
      </c>
      <c r="E21" s="288">
        <f>SUM(E9:E20)</f>
        <v>65720</v>
      </c>
      <c r="F21" s="287">
        <f>SUM(F9:F20)</f>
        <v>28948</v>
      </c>
      <c r="G21" s="287">
        <f t="shared" si="7"/>
        <v>0</v>
      </c>
      <c r="H21" s="287">
        <f>SUM(H9:H20)</f>
        <v>0</v>
      </c>
      <c r="I21" s="287">
        <f t="shared" si="7"/>
        <v>4257</v>
      </c>
      <c r="J21" s="287">
        <f t="shared" si="7"/>
        <v>4386</v>
      </c>
      <c r="K21" s="287">
        <f>SUM(K9:K20)</f>
        <v>865</v>
      </c>
      <c r="L21" s="287">
        <f t="shared" si="7"/>
        <v>0</v>
      </c>
      <c r="M21" s="287">
        <f t="shared" si="7"/>
        <v>0</v>
      </c>
      <c r="N21" s="287">
        <f t="shared" si="7"/>
        <v>0</v>
      </c>
      <c r="O21" s="287">
        <f>SUM(O9:O20)</f>
        <v>0</v>
      </c>
      <c r="P21" s="289">
        <f>SUM(P9:P20)</f>
        <v>0</v>
      </c>
      <c r="Q21" s="84">
        <f>SUM(Q9:Q20)</f>
        <v>694814</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IF('Emp.-Detail'!F23="yes",E9)+IF('Emp.-Detail'!F23="NO",0)</f>
        <v>0</v>
      </c>
      <c r="D25" s="192">
        <f>IF('Emp.-Detail'!F23="YES",K9)+IF('Emp.-Detail'!F23="NO",I9,0)</f>
        <v>4257</v>
      </c>
      <c r="E25" s="195"/>
      <c r="F25" s="287">
        <f>SUM(C25:D25)</f>
        <v>4257</v>
      </c>
      <c r="G25" s="192">
        <v>0</v>
      </c>
      <c r="H25" s="194">
        <v>0</v>
      </c>
      <c r="I25" s="192">
        <v>3000</v>
      </c>
      <c r="J25" s="195">
        <v>0</v>
      </c>
      <c r="K25" s="195"/>
      <c r="L25" s="195">
        <v>0</v>
      </c>
      <c r="M25" s="196">
        <v>595</v>
      </c>
      <c r="N25" s="196">
        <v>0</v>
      </c>
      <c r="O25" s="196">
        <v>2000</v>
      </c>
      <c r="P25" s="192">
        <v>0</v>
      </c>
      <c r="Q25" s="297">
        <f>SUM(F25:P25)</f>
        <v>9852</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IF('Emp.-Detail'!F23="yes",E10)+IF('Emp.-Detail'!F23="NO",0)</f>
        <v>0</v>
      </c>
      <c r="D26" s="192">
        <f>IF('Emp.-Detail'!F23="YES",K10)+IF('Emp.-Detail'!F23="NO",I10,0)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2000</v>
      </c>
      <c r="P26" s="194">
        <f>'Emp.-Detail'!AB9+'Emp.-Detail'!AB9*14.5%</f>
        <v>251.9</v>
      </c>
      <c r="Q26" s="297">
        <f t="shared" ref="Q26:Q36" si="11">SUM(F26:P26)</f>
        <v>5846.9</v>
      </c>
      <c r="R26" s="50"/>
      <c r="S26" s="1089" t="s">
        <v>279</v>
      </c>
      <c r="T26" s="1090"/>
      <c r="U26" s="1090"/>
      <c r="V26" s="1090"/>
      <c r="W26" s="1090"/>
      <c r="X26" s="1090"/>
      <c r="Y26" s="1090"/>
      <c r="Z26" s="1090"/>
      <c r="AA26" s="1091"/>
      <c r="AB26" s="942">
        <f>SUM(V17:V25)+SUM(AD17:AD25)</f>
        <v>44863</v>
      </c>
      <c r="AC26" s="957"/>
      <c r="AD26" s="1135">
        <f>IF(AB26&lt;=150000,AB26,150000)+AD25</f>
        <v>44863</v>
      </c>
      <c r="AE26" s="1136"/>
      <c r="AF26" s="1137"/>
      <c r="AG26" s="17"/>
    </row>
    <row r="27" spans="1:34" ht="19.5" customHeight="1">
      <c r="A27" s="187">
        <v>3</v>
      </c>
      <c r="B27" s="296">
        <f t="shared" si="8"/>
        <v>42491</v>
      </c>
      <c r="C27" s="192">
        <f>IF('Emp.-Detail'!F23="yes",E11)+IF('Emp.-Detail'!F23="NO",0)</f>
        <v>0</v>
      </c>
      <c r="D27" s="192">
        <f>IF('Emp.-Detail'!F23="YES",K11)+IF('Emp.-Detail'!F23="NO",I11,0)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2000</v>
      </c>
      <c r="P27" s="192">
        <v>0</v>
      </c>
      <c r="Q27" s="297">
        <f t="shared" si="11"/>
        <v>5595</v>
      </c>
      <c r="R27" s="50"/>
      <c r="S27" s="1085" t="s">
        <v>592</v>
      </c>
      <c r="T27" s="1086"/>
      <c r="U27" s="1086"/>
      <c r="V27" s="1086"/>
      <c r="W27" s="1086"/>
      <c r="X27" s="1086"/>
      <c r="Y27" s="1086"/>
      <c r="Z27" s="1086"/>
      <c r="AA27" s="1086"/>
      <c r="AB27" s="1087">
        <f>AB5</f>
        <v>0</v>
      </c>
      <c r="AC27" s="1088"/>
      <c r="AD27" s="831">
        <f>AD15-(AD26+AB5)</f>
        <v>649951</v>
      </c>
      <c r="AE27" s="831"/>
      <c r="AF27" s="955"/>
      <c r="AG27" s="17"/>
    </row>
    <row r="28" spans="1:34" ht="19.5" customHeight="1">
      <c r="A28" s="187">
        <v>4</v>
      </c>
      <c r="B28" s="296">
        <f t="shared" si="8"/>
        <v>42522</v>
      </c>
      <c r="C28" s="192">
        <f>IF('Emp.-Detail'!F23="yes",E12)+IF('Emp.-Detail'!F23="NO",0)</f>
        <v>0</v>
      </c>
      <c r="D28" s="192">
        <f>IF('Emp.-Detail'!F23="YES",K12)+IF('Emp.-Detail'!F23="NO",I12,0)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2000</v>
      </c>
      <c r="P28" s="192">
        <v>0</v>
      </c>
      <c r="Q28" s="297">
        <f t="shared" si="11"/>
        <v>5595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IF('Emp.-Detail'!F23="yes",E13)+IF('Emp.-Detail'!F23="NO",0)</f>
        <v>0</v>
      </c>
      <c r="D29" s="192">
        <f>IF('Emp.-Detail'!F23="YES",K13)+IF('Emp.-Detail'!F23="NO",I13,0)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2000</v>
      </c>
      <c r="P29" s="192">
        <v>0</v>
      </c>
      <c r="Q29" s="297">
        <f t="shared" si="11"/>
        <v>5595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IF('Emp.-Detail'!F23="yes",E14)+IF('Emp.-Detail'!F23="NO",0)</f>
        <v>0</v>
      </c>
      <c r="D30" s="192">
        <f>IF('Emp.-Detail'!F23="YES",K14)+IF('Emp.-Detail'!F23="NO",J14,0)</f>
        <v>4386</v>
      </c>
      <c r="E30" s="195"/>
      <c r="F30" s="287">
        <f t="shared" si="9"/>
        <v>4386</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2000</v>
      </c>
      <c r="P30" s="192">
        <v>0</v>
      </c>
      <c r="Q30" s="297">
        <f t="shared" si="11"/>
        <v>9981</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IF('Emp.-Detail'!F23="yes",E15)+IF('Emp.-Detail'!F23="NO",0)</f>
        <v>0</v>
      </c>
      <c r="D31" s="192">
        <f>IF('Emp.-Detail'!F23="YES",K15)+IF('Emp.-Detail'!F23="NO",J15,0)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2000</v>
      </c>
      <c r="P31" s="192">
        <v>0</v>
      </c>
      <c r="Q31" s="297">
        <f t="shared" si="11"/>
        <v>5595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IF('Emp.-Detail'!F23="yes",E16)+IF('Emp.-Detail'!F23="NO",0)</f>
        <v>0</v>
      </c>
      <c r="D32" s="192">
        <f>IF('Emp.-Detail'!F23="YES",K16)+IF('Emp.-Detail'!F23="NO",J16,0)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2000</v>
      </c>
      <c r="P32" s="192">
        <v>0</v>
      </c>
      <c r="Q32" s="297">
        <f t="shared" si="11"/>
        <v>5595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IF('Emp.-Detail'!F23="yes",E17)+IF('Emp.-Detail'!F23="NO",0)</f>
        <v>0</v>
      </c>
      <c r="D33" s="192">
        <f>IF('Emp.-Detail'!F23="YES",K17)+IF('Emp.-Detail'!F23="NO",J17,0)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2000</v>
      </c>
      <c r="P33" s="192">
        <v>0</v>
      </c>
      <c r="Q33" s="297">
        <f t="shared" si="11"/>
        <v>5595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IF('Emp.-Detail'!F23="yes",E18)+IF('Emp.-Detail'!F23="NO",0)</f>
        <v>0</v>
      </c>
      <c r="D34" s="192">
        <f>IF('Emp.-Detail'!F23="YES",K18)+IF('Emp.-Detail'!F23="NO",J18,0)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2000</v>
      </c>
      <c r="P34" s="192">
        <v>0</v>
      </c>
      <c r="Q34" s="297">
        <f t="shared" si="11"/>
        <v>5595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IF('Emp.-Detail'!F23="yes",E19)+IF('Emp.-Detail'!F23="NO",0)</f>
        <v>0</v>
      </c>
      <c r="D35" s="192">
        <f>IF('Emp.-Detail'!F23="YES",K19)+IF('Emp.-Detail'!F23="NO",J19,0)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2000</v>
      </c>
      <c r="P35" s="192">
        <v>0</v>
      </c>
      <c r="Q35" s="297">
        <f t="shared" si="11"/>
        <v>5595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IF('Emp.-Detail'!F23="yes",E20)+IF('Emp.-Detail'!F23="NO",0)</f>
        <v>0</v>
      </c>
      <c r="D36" s="192">
        <f>IF('Emp.-Detail'!F23="YES",K20)+IF('Emp.-Detail'!F23="NO",J20,0)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2000</v>
      </c>
      <c r="P36" s="192">
        <v>0</v>
      </c>
      <c r="Q36" s="297">
        <f t="shared" si="11"/>
        <v>5595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8643</v>
      </c>
      <c r="E37" s="306"/>
      <c r="F37" s="307">
        <f t="shared" si="9"/>
        <v>8643</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24000</v>
      </c>
      <c r="P37" s="288">
        <f t="shared" si="12"/>
        <v>251.9</v>
      </c>
      <c r="Q37" s="305">
        <f t="shared" si="12"/>
        <v>76034.899999999994</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694814</v>
      </c>
      <c r="D38" s="860"/>
      <c r="E38" s="309"/>
      <c r="F38" s="310"/>
      <c r="G38" s="1001" t="s">
        <v>13</v>
      </c>
      <c r="H38" s="1001"/>
      <c r="I38" s="1001"/>
      <c r="J38" s="860">
        <f>Q37</f>
        <v>76034.899999999994</v>
      </c>
      <c r="K38" s="860"/>
      <c r="L38" s="860"/>
      <c r="M38" s="310"/>
      <c r="N38" s="998" t="s">
        <v>15</v>
      </c>
      <c r="O38" s="998"/>
      <c r="P38" s="860">
        <f>Q21-Q37</f>
        <v>618779.1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649951</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649950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54990</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54990</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1100</v>
      </c>
      <c r="V43" s="949"/>
      <c r="W43" s="949"/>
      <c r="X43" s="1067" t="s">
        <v>84</v>
      </c>
      <c r="Y43" s="1067"/>
      <c r="Z43" s="1067"/>
      <c r="AA43" s="953">
        <f>ROUND((AD42*1%),0)</f>
        <v>550</v>
      </c>
      <c r="AB43" s="953"/>
      <c r="AC43" s="953"/>
      <c r="AD43" s="951">
        <f>U43+AA43</f>
        <v>1650</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56640</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IF('Emp.-Detail'!F23="NO",0,ROUND(E21+K21,0))</f>
        <v>0</v>
      </c>
      <c r="Q46" s="943"/>
      <c r="R46" s="22"/>
      <c r="S46" s="1071" t="s">
        <v>87</v>
      </c>
      <c r="T46" s="1072"/>
      <c r="U46" s="1072"/>
      <c r="V46" s="1072"/>
      <c r="W46" s="1072"/>
      <c r="X46" s="1072"/>
      <c r="Y46" s="1072"/>
      <c r="Z46" s="1072"/>
      <c r="AA46" s="1072"/>
      <c r="AB46" s="1072"/>
      <c r="AC46" s="1072"/>
      <c r="AD46" s="796">
        <f>AD44-AD45</f>
        <v>56640</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32640</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RAJ KUMAR TANWAR</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694814</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694814</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694814</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RAJ KUMAR TANWAR</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ACPPT9605F</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9461250476</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694814</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'Emp.-Detail'!O23</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8643</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169572</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174456</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174662</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176124</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694814</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44863</v>
      </c>
      <c r="AC81" s="1113"/>
      <c r="AD81" s="773">
        <f>AD26</f>
        <v>44863</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'Emp.-Detail'!N23</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'Emp.-Detail'!N23</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'Emp.-Detail'!N23</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'Emp.-Detail'!J23</f>
        <v>0</v>
      </c>
      <c r="C87" s="788"/>
      <c r="D87" s="776"/>
      <c r="E87" s="257"/>
      <c r="F87" s="1233" t="str">
        <f>'Emp.-Detail'!K23</f>
        <v>0</v>
      </c>
      <c r="G87" s="791"/>
      <c r="H87" s="791"/>
      <c r="I87" s="792"/>
      <c r="J87" s="810" t="str">
        <f>'Emp.-Detail'!L23</f>
        <v>00/00/0000</v>
      </c>
      <c r="K87" s="811"/>
      <c r="L87" s="811"/>
      <c r="M87" s="812"/>
      <c r="N87" s="1233" t="str">
        <f>'Emp.-Detail'!M23</f>
        <v>00</v>
      </c>
      <c r="O87" s="792"/>
      <c r="P87" s="793" t="str">
        <f>'Emp.-Detail'!N23</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44863</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649950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54990</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1650</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56640</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56640</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694814</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694814</v>
      </c>
      <c r="P104" s="776"/>
      <c r="Q104" s="258">
        <f>O104</f>
        <v>694814</v>
      </c>
      <c r="R104" s="235"/>
      <c r="S104" s="254"/>
      <c r="T104" s="229" t="str">
        <f>'DDO '!L10</f>
        <v>PRINCIPAL</v>
      </c>
      <c r="U104" s="229"/>
      <c r="V104" s="780" t="s">
        <v>51</v>
      </c>
      <c r="W104" s="780"/>
      <c r="X104" s="780"/>
      <c r="Y104" s="780"/>
      <c r="Z104" s="770">
        <f>AD100</f>
        <v>56640</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FIFTY  SIX  Thousand  SIX  Hundred  FOURTY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694814</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694814</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694814</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8"/>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2.xml><?xml version="1.0" encoding="utf-8"?>
<worksheet xmlns="http://schemas.openxmlformats.org/spreadsheetml/2006/main" xmlns:r="http://schemas.openxmlformats.org/officeDocument/2006/relationships">
  <dimension ref="A1:AE73"/>
  <sheetViews>
    <sheetView showGridLines="0" workbookViewId="0">
      <selection sqref="A1:D1"/>
    </sheetView>
  </sheetViews>
  <sheetFormatPr defaultColWidth="0" defaultRowHeight="15" zeroHeight="1"/>
  <cols>
    <col min="1" max="1" width="11.5703125" style="50" customWidth="1"/>
    <col min="2" max="6" width="9.140625" style="50" customWidth="1"/>
    <col min="7" max="7" width="7.85546875" style="50" customWidth="1"/>
    <col min="8" max="8" width="13.42578125" style="50" customWidth="1"/>
    <col min="9" max="10" width="9.140625" style="50" customWidth="1"/>
    <col min="11" max="11" width="5.7109375" style="50" customWidth="1"/>
    <col min="12" max="12" width="9.140625" style="50" customWidth="1"/>
    <col min="13" max="13" width="7.140625" style="50" customWidth="1"/>
    <col min="14" max="14" width="7" style="50" customWidth="1"/>
    <col min="15" max="15" width="9.140625" style="50" customWidth="1"/>
    <col min="16" max="16" width="7" style="50" customWidth="1"/>
    <col min="17" max="17" width="9.140625" style="50" customWidth="1"/>
    <col min="18" max="18" width="11.28515625" style="50" customWidth="1"/>
    <col min="19" max="31" width="9.140625" style="50" customWidth="1"/>
    <col min="32" max="16384" width="9.140625" style="18" hidden="1"/>
  </cols>
  <sheetData>
    <row r="1" spans="1:31" s="174" customFormat="1" ht="20.100000000000001" customHeight="1" thickBot="1">
      <c r="A1" s="571" t="s">
        <v>403</v>
      </c>
      <c r="B1" s="572"/>
      <c r="C1" s="572"/>
      <c r="D1" s="573"/>
      <c r="E1" s="441"/>
      <c r="F1" s="581"/>
      <c r="G1" s="597" t="str">
        <f>'DDO '!G5</f>
        <v>vk;dj x.kuk i= ys[kk o"kZ 2016&amp;2017 dj fu/kkZj.k o"kZ 2017&amp;2018</v>
      </c>
      <c r="H1" s="598"/>
      <c r="I1" s="598"/>
      <c r="J1" s="598"/>
      <c r="K1" s="598"/>
      <c r="L1" s="598"/>
      <c r="M1" s="598"/>
      <c r="N1" s="598"/>
      <c r="O1" s="598"/>
      <c r="P1" s="598"/>
      <c r="Q1" s="598"/>
      <c r="R1" s="598"/>
      <c r="S1" s="599"/>
      <c r="T1" s="582"/>
      <c r="U1" s="441"/>
      <c r="V1" s="441"/>
      <c r="W1" s="441"/>
      <c r="X1" s="441"/>
      <c r="Y1" s="441"/>
      <c r="Z1" s="441"/>
      <c r="AA1" s="441"/>
      <c r="AB1" s="441"/>
      <c r="AC1" s="441"/>
      <c r="AD1" s="441"/>
      <c r="AE1" s="441"/>
    </row>
    <row r="2" spans="1:31" ht="15" customHeight="1" thickBot="1">
      <c r="A2" s="580"/>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441"/>
    </row>
    <row r="3" spans="1:31" s="175" customFormat="1" ht="19.5" thickBot="1">
      <c r="A3" s="577" t="s">
        <v>430</v>
      </c>
      <c r="B3" s="578"/>
      <c r="C3" s="578"/>
      <c r="D3" s="578"/>
      <c r="E3" s="578"/>
      <c r="F3" s="578"/>
      <c r="G3" s="578"/>
      <c r="H3" s="579"/>
      <c r="I3" s="177"/>
      <c r="J3" s="594" t="s">
        <v>467</v>
      </c>
      <c r="K3" s="595"/>
      <c r="L3" s="595"/>
      <c r="M3" s="595"/>
      <c r="N3" s="595"/>
      <c r="O3" s="595"/>
      <c r="P3" s="596"/>
      <c r="Q3" s="439"/>
      <c r="R3" s="492" t="s">
        <v>493</v>
      </c>
      <c r="S3" s="493"/>
      <c r="T3" s="493"/>
      <c r="U3" s="493"/>
      <c r="V3" s="493"/>
      <c r="W3" s="493"/>
      <c r="X3" s="493"/>
      <c r="Y3" s="493"/>
      <c r="Z3" s="493"/>
      <c r="AA3" s="493"/>
      <c r="AB3" s="493"/>
      <c r="AC3" s="493"/>
      <c r="AD3" s="494"/>
      <c r="AE3" s="441"/>
    </row>
    <row r="4" spans="1:31" s="175" customFormat="1" ht="18.75" customHeight="1">
      <c r="A4" s="519" t="s">
        <v>431</v>
      </c>
      <c r="B4" s="520"/>
      <c r="C4" s="520"/>
      <c r="D4" s="520"/>
      <c r="E4" s="520"/>
      <c r="F4" s="520"/>
      <c r="G4" s="520"/>
      <c r="H4" s="521"/>
      <c r="I4" s="177"/>
      <c r="J4" s="569" t="s">
        <v>468</v>
      </c>
      <c r="K4" s="570"/>
      <c r="L4" s="570" t="s">
        <v>469</v>
      </c>
      <c r="M4" s="570"/>
      <c r="N4" s="570"/>
      <c r="O4" s="643" t="s">
        <v>471</v>
      </c>
      <c r="P4" s="644"/>
      <c r="Q4" s="439"/>
      <c r="R4" s="586" t="s">
        <v>494</v>
      </c>
      <c r="S4" s="515" t="s">
        <v>497</v>
      </c>
      <c r="T4" s="515"/>
      <c r="U4" s="515"/>
      <c r="V4" s="515"/>
      <c r="W4" s="583" t="s">
        <v>498</v>
      </c>
      <c r="X4" s="583"/>
      <c r="Y4" s="583"/>
      <c r="Z4" s="583"/>
      <c r="AA4" s="515" t="s">
        <v>499</v>
      </c>
      <c r="AB4" s="515"/>
      <c r="AC4" s="515"/>
      <c r="AD4" s="584"/>
      <c r="AE4" s="441"/>
    </row>
    <row r="5" spans="1:31" s="175" customFormat="1" ht="18.75" customHeight="1">
      <c r="A5" s="522" t="s">
        <v>577</v>
      </c>
      <c r="B5" s="523"/>
      <c r="C5" s="535" t="s">
        <v>432</v>
      </c>
      <c r="D5" s="535"/>
      <c r="E5" s="535"/>
      <c r="F5" s="535"/>
      <c r="G5" s="535"/>
      <c r="H5" s="541"/>
      <c r="I5" s="178"/>
      <c r="J5" s="569"/>
      <c r="K5" s="570"/>
      <c r="L5" s="570"/>
      <c r="M5" s="570"/>
      <c r="N5" s="570"/>
      <c r="O5" s="643"/>
      <c r="P5" s="644"/>
      <c r="Q5" s="439"/>
      <c r="R5" s="499"/>
      <c r="S5" s="502"/>
      <c r="T5" s="502"/>
      <c r="U5" s="502"/>
      <c r="V5" s="502"/>
      <c r="W5" s="506"/>
      <c r="X5" s="506"/>
      <c r="Y5" s="506"/>
      <c r="Z5" s="506"/>
      <c r="AA5" s="502"/>
      <c r="AB5" s="502"/>
      <c r="AC5" s="502"/>
      <c r="AD5" s="585"/>
      <c r="AE5" s="441"/>
    </row>
    <row r="6" spans="1:31" s="175" customFormat="1" ht="18.75" customHeight="1">
      <c r="A6" s="524"/>
      <c r="B6" s="525"/>
      <c r="C6" s="535"/>
      <c r="D6" s="535"/>
      <c r="E6" s="535"/>
      <c r="F6" s="535"/>
      <c r="G6" s="535"/>
      <c r="H6" s="541"/>
      <c r="I6" s="178"/>
      <c r="J6" s="567" t="s">
        <v>470</v>
      </c>
      <c r="K6" s="568"/>
      <c r="L6" s="531" t="s">
        <v>576</v>
      </c>
      <c r="M6" s="531"/>
      <c r="N6" s="531"/>
      <c r="O6" s="538" t="s">
        <v>472</v>
      </c>
      <c r="P6" s="539"/>
      <c r="Q6" s="439"/>
      <c r="R6" s="587" t="s">
        <v>495</v>
      </c>
      <c r="S6" s="509" t="s">
        <v>91</v>
      </c>
      <c r="T6" s="509"/>
      <c r="U6" s="510" t="s">
        <v>496</v>
      </c>
      <c r="V6" s="510"/>
      <c r="W6" s="509" t="s">
        <v>91</v>
      </c>
      <c r="X6" s="509"/>
      <c r="Y6" s="510" t="s">
        <v>496</v>
      </c>
      <c r="Z6" s="510"/>
      <c r="AA6" s="509" t="s">
        <v>91</v>
      </c>
      <c r="AB6" s="509"/>
      <c r="AC6" s="510" t="s">
        <v>496</v>
      </c>
      <c r="AD6" s="511"/>
      <c r="AE6" s="441"/>
    </row>
    <row r="7" spans="1:31" s="175" customFormat="1" ht="18.75">
      <c r="A7" s="526"/>
      <c r="B7" s="527"/>
      <c r="C7" s="535"/>
      <c r="D7" s="535"/>
      <c r="E7" s="535"/>
      <c r="F7" s="535"/>
      <c r="G7" s="535"/>
      <c r="H7" s="541"/>
      <c r="I7" s="178"/>
      <c r="J7" s="567"/>
      <c r="K7" s="568"/>
      <c r="L7" s="531"/>
      <c r="M7" s="531"/>
      <c r="N7" s="531"/>
      <c r="O7" s="538"/>
      <c r="P7" s="539"/>
      <c r="Q7" s="439"/>
      <c r="R7" s="587"/>
      <c r="S7" s="509"/>
      <c r="T7" s="509"/>
      <c r="U7" s="510"/>
      <c r="V7" s="510"/>
      <c r="W7" s="509"/>
      <c r="X7" s="509"/>
      <c r="Y7" s="510"/>
      <c r="Z7" s="510"/>
      <c r="AA7" s="509"/>
      <c r="AB7" s="509"/>
      <c r="AC7" s="510"/>
      <c r="AD7" s="511"/>
      <c r="AE7" s="441"/>
    </row>
    <row r="8" spans="1:31" s="175" customFormat="1" ht="18.75">
      <c r="A8" s="548" t="s">
        <v>578</v>
      </c>
      <c r="B8" s="549"/>
      <c r="C8" s="531" t="s">
        <v>433</v>
      </c>
      <c r="D8" s="531"/>
      <c r="E8" s="531"/>
      <c r="F8" s="531"/>
      <c r="G8" s="531"/>
      <c r="H8" s="540"/>
      <c r="I8" s="178"/>
      <c r="J8" s="567"/>
      <c r="K8" s="568"/>
      <c r="L8" s="531" t="s">
        <v>575</v>
      </c>
      <c r="M8" s="531"/>
      <c r="N8" s="531"/>
      <c r="O8" s="538" t="s">
        <v>473</v>
      </c>
      <c r="P8" s="539"/>
      <c r="Q8" s="439"/>
      <c r="R8" s="179">
        <v>1</v>
      </c>
      <c r="S8" s="512">
        <v>0</v>
      </c>
      <c r="T8" s="512"/>
      <c r="U8" s="489">
        <f>ROUND(S8*0.0816,0)</f>
        <v>0</v>
      </c>
      <c r="V8" s="491"/>
      <c r="W8" s="512">
        <v>0</v>
      </c>
      <c r="X8" s="512"/>
      <c r="Y8" s="489">
        <f>ROUND(W8*0.0858,0)</f>
        <v>0</v>
      </c>
      <c r="Z8" s="491"/>
      <c r="AA8" s="512">
        <v>0</v>
      </c>
      <c r="AB8" s="512"/>
      <c r="AC8" s="489">
        <f>ROUND(AA8*0.0878,0)</f>
        <v>0</v>
      </c>
      <c r="AD8" s="490"/>
      <c r="AE8" s="441"/>
    </row>
    <row r="9" spans="1:31" s="175" customFormat="1" ht="18.75" customHeight="1">
      <c r="A9" s="550"/>
      <c r="B9" s="551"/>
      <c r="C9" s="531"/>
      <c r="D9" s="531"/>
      <c r="E9" s="531"/>
      <c r="F9" s="531"/>
      <c r="G9" s="531"/>
      <c r="H9" s="540"/>
      <c r="I9" s="177"/>
      <c r="J9" s="567"/>
      <c r="K9" s="568"/>
      <c r="L9" s="531"/>
      <c r="M9" s="531"/>
      <c r="N9" s="531"/>
      <c r="O9" s="538"/>
      <c r="P9" s="539"/>
      <c r="Q9" s="439"/>
      <c r="R9" s="179">
        <v>2</v>
      </c>
      <c r="S9" s="512">
        <v>0</v>
      </c>
      <c r="T9" s="512"/>
      <c r="U9" s="489">
        <f>ROUND(S9*0.0883,0)</f>
        <v>0</v>
      </c>
      <c r="V9" s="491"/>
      <c r="W9" s="512">
        <v>0</v>
      </c>
      <c r="X9" s="512"/>
      <c r="Y9" s="489">
        <f>ROUND(W9*0.0931,0)</f>
        <v>0</v>
      </c>
      <c r="Z9" s="491"/>
      <c r="AA9" s="512">
        <v>0</v>
      </c>
      <c r="AB9" s="512"/>
      <c r="AC9" s="489">
        <f>ROUND(AA9*0.0956,0)</f>
        <v>0</v>
      </c>
      <c r="AD9" s="490"/>
      <c r="AE9" s="441"/>
    </row>
    <row r="10" spans="1:31" s="175" customFormat="1" ht="26.25" customHeight="1">
      <c r="A10" s="574" t="s">
        <v>463</v>
      </c>
      <c r="B10" s="575"/>
      <c r="C10" s="575"/>
      <c r="D10" s="575"/>
      <c r="E10" s="575"/>
      <c r="F10" s="575"/>
      <c r="G10" s="575"/>
      <c r="H10" s="576"/>
      <c r="I10" s="177"/>
      <c r="J10" s="567" t="s">
        <v>474</v>
      </c>
      <c r="K10" s="568"/>
      <c r="L10" s="531" t="s">
        <v>576</v>
      </c>
      <c r="M10" s="531"/>
      <c r="N10" s="531"/>
      <c r="O10" s="538" t="s">
        <v>476</v>
      </c>
      <c r="P10" s="539"/>
      <c r="Q10" s="439"/>
      <c r="R10" s="179">
        <v>3</v>
      </c>
      <c r="S10" s="512">
        <v>0</v>
      </c>
      <c r="T10" s="512"/>
      <c r="U10" s="489">
        <f>ROUND(S10*0.0955,0)</f>
        <v>0</v>
      </c>
      <c r="V10" s="491"/>
      <c r="W10" s="512">
        <v>0</v>
      </c>
      <c r="X10" s="512"/>
      <c r="Y10" s="489">
        <f>ROUND(W10*0.1011,0)</f>
        <v>0</v>
      </c>
      <c r="Z10" s="491"/>
      <c r="AA10" s="512">
        <v>0</v>
      </c>
      <c r="AB10" s="512"/>
      <c r="AC10" s="489">
        <f>ROUND(AA10*0.104,0)</f>
        <v>0</v>
      </c>
      <c r="AD10" s="490"/>
      <c r="AE10" s="441"/>
    </row>
    <row r="11" spans="1:31" s="175" customFormat="1" ht="18.75">
      <c r="A11" s="552" t="s">
        <v>439</v>
      </c>
      <c r="B11" s="553"/>
      <c r="C11" s="553"/>
      <c r="D11" s="553"/>
      <c r="E11" s="553"/>
      <c r="F11" s="553"/>
      <c r="G11" s="553"/>
      <c r="H11" s="554"/>
      <c r="I11" s="177"/>
      <c r="J11" s="567"/>
      <c r="K11" s="568"/>
      <c r="L11" s="531"/>
      <c r="M11" s="531"/>
      <c r="N11" s="531"/>
      <c r="O11" s="538"/>
      <c r="P11" s="539"/>
      <c r="Q11" s="439"/>
      <c r="R11" s="179">
        <v>4</v>
      </c>
      <c r="S11" s="512">
        <v>0</v>
      </c>
      <c r="T11" s="512"/>
      <c r="U11" s="489">
        <f>ROUND(S11*0.1033,0)</f>
        <v>0</v>
      </c>
      <c r="V11" s="491"/>
      <c r="W11" s="512">
        <v>0</v>
      </c>
      <c r="X11" s="512"/>
      <c r="Y11" s="489">
        <f>ROUND(W11*0.1098,0)</f>
        <v>0</v>
      </c>
      <c r="Z11" s="491"/>
      <c r="AA11" s="512">
        <v>0</v>
      </c>
      <c r="AB11" s="512"/>
      <c r="AC11" s="489">
        <f>ROUND(AA11*0.1131,0)</f>
        <v>0</v>
      </c>
      <c r="AD11" s="490"/>
      <c r="AE11" s="441"/>
    </row>
    <row r="12" spans="1:31" s="175" customFormat="1" ht="18.75" customHeight="1">
      <c r="A12" s="558" t="s">
        <v>157</v>
      </c>
      <c r="B12" s="559"/>
      <c r="C12" s="559"/>
      <c r="D12" s="559"/>
      <c r="E12" s="561" t="s">
        <v>435</v>
      </c>
      <c r="F12" s="561"/>
      <c r="G12" s="561"/>
      <c r="H12" s="566"/>
      <c r="I12" s="180"/>
      <c r="J12" s="567"/>
      <c r="K12" s="568"/>
      <c r="L12" s="531" t="s">
        <v>575</v>
      </c>
      <c r="M12" s="531"/>
      <c r="N12" s="531"/>
      <c r="O12" s="538" t="s">
        <v>472</v>
      </c>
      <c r="P12" s="539"/>
      <c r="Q12" s="439"/>
      <c r="R12" s="179">
        <v>5</v>
      </c>
      <c r="S12" s="512">
        <v>0</v>
      </c>
      <c r="T12" s="512"/>
      <c r="U12" s="489">
        <f>ROUND(S12*0.1177,0)</f>
        <v>0</v>
      </c>
      <c r="V12" s="491"/>
      <c r="W12" s="512">
        <v>0</v>
      </c>
      <c r="X12" s="512"/>
      <c r="Y12" s="489">
        <f>ROUND(W12*0.1192,0)</f>
        <v>0</v>
      </c>
      <c r="Z12" s="491"/>
      <c r="AA12" s="512">
        <v>0</v>
      </c>
      <c r="AB12" s="512"/>
      <c r="AC12" s="489">
        <f>ROUND(AA12*0.123,0)</f>
        <v>0</v>
      </c>
      <c r="AD12" s="490"/>
      <c r="AE12" s="441"/>
    </row>
    <row r="13" spans="1:31" s="175" customFormat="1" ht="19.5" thickBot="1">
      <c r="A13" s="558" t="s">
        <v>158</v>
      </c>
      <c r="B13" s="559"/>
      <c r="C13" s="559"/>
      <c r="D13" s="559"/>
      <c r="E13" s="559" t="s">
        <v>167</v>
      </c>
      <c r="F13" s="559"/>
      <c r="G13" s="559"/>
      <c r="H13" s="565"/>
      <c r="I13" s="180"/>
      <c r="J13" s="567"/>
      <c r="K13" s="568"/>
      <c r="L13" s="531"/>
      <c r="M13" s="531"/>
      <c r="N13" s="531"/>
      <c r="O13" s="538"/>
      <c r="P13" s="539"/>
      <c r="Q13" s="439"/>
      <c r="R13" s="181">
        <v>6</v>
      </c>
      <c r="S13" s="512">
        <v>0</v>
      </c>
      <c r="T13" s="512"/>
      <c r="U13" s="495">
        <f>ROUND(S13*0.1208,0)</f>
        <v>0</v>
      </c>
      <c r="V13" s="496"/>
      <c r="W13" s="513"/>
      <c r="X13" s="513"/>
      <c r="Y13" s="513"/>
      <c r="Z13" s="513"/>
      <c r="AA13" s="513"/>
      <c r="AB13" s="513"/>
      <c r="AC13" s="513"/>
      <c r="AD13" s="514"/>
      <c r="AE13" s="441"/>
    </row>
    <row r="14" spans="1:31" s="175" customFormat="1" ht="18.75" customHeight="1" thickBot="1">
      <c r="A14" s="558" t="s">
        <v>159</v>
      </c>
      <c r="B14" s="559"/>
      <c r="C14" s="559"/>
      <c r="D14" s="559"/>
      <c r="E14" s="561" t="s">
        <v>437</v>
      </c>
      <c r="F14" s="561"/>
      <c r="G14" s="561"/>
      <c r="H14" s="566"/>
      <c r="I14" s="182"/>
      <c r="J14" s="567" t="s">
        <v>475</v>
      </c>
      <c r="K14" s="568"/>
      <c r="L14" s="531" t="s">
        <v>576</v>
      </c>
      <c r="M14" s="531"/>
      <c r="N14" s="531"/>
      <c r="O14" s="538" t="s">
        <v>477</v>
      </c>
      <c r="P14" s="539"/>
      <c r="Q14" s="439"/>
      <c r="R14" s="440"/>
      <c r="S14" s="440"/>
      <c r="T14" s="440"/>
      <c r="U14" s="440"/>
      <c r="V14" s="440"/>
      <c r="W14" s="440"/>
      <c r="X14" s="440"/>
      <c r="Y14" s="440"/>
      <c r="Z14" s="440"/>
      <c r="AA14" s="440"/>
      <c r="AB14" s="440"/>
      <c r="AC14" s="440"/>
      <c r="AD14" s="440"/>
      <c r="AE14" s="441"/>
    </row>
    <row r="15" spans="1:31" s="175" customFormat="1" ht="19.5" customHeight="1" thickBot="1">
      <c r="A15" s="558" t="s">
        <v>160</v>
      </c>
      <c r="B15" s="559"/>
      <c r="C15" s="559"/>
      <c r="D15" s="559"/>
      <c r="E15" s="559" t="s">
        <v>169</v>
      </c>
      <c r="F15" s="559"/>
      <c r="G15" s="559"/>
      <c r="H15" s="565"/>
      <c r="I15" s="182"/>
      <c r="J15" s="567"/>
      <c r="K15" s="568"/>
      <c r="L15" s="531"/>
      <c r="M15" s="531"/>
      <c r="N15" s="531"/>
      <c r="O15" s="538"/>
      <c r="P15" s="539"/>
      <c r="Q15" s="439"/>
      <c r="R15" s="638" t="s">
        <v>493</v>
      </c>
      <c r="S15" s="639"/>
      <c r="T15" s="639"/>
      <c r="U15" s="639"/>
      <c r="V15" s="639"/>
      <c r="W15" s="639"/>
      <c r="X15" s="639"/>
      <c r="Y15" s="639"/>
      <c r="Z15" s="640"/>
      <c r="AA15" s="439"/>
      <c r="AB15" s="439"/>
      <c r="AC15" s="439"/>
      <c r="AD15" s="439"/>
      <c r="AE15" s="441"/>
    </row>
    <row r="16" spans="1:31" s="175" customFormat="1" ht="18.75" customHeight="1">
      <c r="A16" s="558" t="s">
        <v>161</v>
      </c>
      <c r="B16" s="559"/>
      <c r="C16" s="559"/>
      <c r="D16" s="559"/>
      <c r="E16" s="559" t="s">
        <v>170</v>
      </c>
      <c r="F16" s="559"/>
      <c r="G16" s="559"/>
      <c r="H16" s="565"/>
      <c r="I16" s="182"/>
      <c r="J16" s="567"/>
      <c r="K16" s="568"/>
      <c r="L16" s="531" t="s">
        <v>575</v>
      </c>
      <c r="M16" s="531"/>
      <c r="N16" s="531"/>
      <c r="O16" s="538" t="s">
        <v>478</v>
      </c>
      <c r="P16" s="539"/>
      <c r="Q16" s="439"/>
      <c r="R16" s="498" t="s">
        <v>494</v>
      </c>
      <c r="S16" s="500" t="s">
        <v>565</v>
      </c>
      <c r="T16" s="501"/>
      <c r="U16" s="501"/>
      <c r="V16" s="501"/>
      <c r="W16" s="503" t="s">
        <v>566</v>
      </c>
      <c r="X16" s="504"/>
      <c r="Y16" s="504"/>
      <c r="Z16" s="505"/>
      <c r="AA16" s="439"/>
      <c r="AB16" s="439"/>
      <c r="AC16" s="439"/>
      <c r="AD16" s="439"/>
      <c r="AE16" s="441"/>
    </row>
    <row r="17" spans="1:31" s="175" customFormat="1" ht="19.5" thickBot="1">
      <c r="A17" s="558" t="s">
        <v>162</v>
      </c>
      <c r="B17" s="559"/>
      <c r="C17" s="559"/>
      <c r="D17" s="559"/>
      <c r="E17" s="559" t="s">
        <v>171</v>
      </c>
      <c r="F17" s="559"/>
      <c r="G17" s="559"/>
      <c r="H17" s="565"/>
      <c r="I17" s="182"/>
      <c r="J17" s="641"/>
      <c r="K17" s="642"/>
      <c r="L17" s="635"/>
      <c r="M17" s="635"/>
      <c r="N17" s="635"/>
      <c r="O17" s="636"/>
      <c r="P17" s="637"/>
      <c r="Q17" s="439"/>
      <c r="R17" s="499"/>
      <c r="S17" s="502"/>
      <c r="T17" s="502"/>
      <c r="U17" s="502"/>
      <c r="V17" s="502"/>
      <c r="W17" s="506"/>
      <c r="X17" s="506"/>
      <c r="Y17" s="506"/>
      <c r="Z17" s="507"/>
      <c r="AA17" s="439"/>
      <c r="AB17" s="439"/>
      <c r="AC17" s="439"/>
      <c r="AD17" s="439"/>
      <c r="AE17" s="441"/>
    </row>
    <row r="18" spans="1:31" s="175" customFormat="1" ht="19.5" thickBot="1">
      <c r="A18" s="560" t="s">
        <v>434</v>
      </c>
      <c r="B18" s="561"/>
      <c r="C18" s="561"/>
      <c r="D18" s="561"/>
      <c r="E18" s="559" t="s">
        <v>172</v>
      </c>
      <c r="F18" s="559"/>
      <c r="G18" s="559"/>
      <c r="H18" s="565"/>
      <c r="I18" s="182"/>
      <c r="J18" s="177"/>
      <c r="K18" s="183"/>
      <c r="L18" s="184"/>
      <c r="M18" s="183"/>
      <c r="N18" s="183"/>
      <c r="O18" s="183"/>
      <c r="P18" s="183"/>
      <c r="Q18" s="439"/>
      <c r="R18" s="508" t="s">
        <v>495</v>
      </c>
      <c r="S18" s="509" t="s">
        <v>91</v>
      </c>
      <c r="T18" s="509"/>
      <c r="U18" s="510" t="s">
        <v>496</v>
      </c>
      <c r="V18" s="510"/>
      <c r="W18" s="509" t="s">
        <v>91</v>
      </c>
      <c r="X18" s="509"/>
      <c r="Y18" s="510" t="s">
        <v>496</v>
      </c>
      <c r="Z18" s="511"/>
      <c r="AA18" s="439"/>
      <c r="AB18" s="439"/>
      <c r="AC18" s="439"/>
      <c r="AD18" s="439"/>
      <c r="AE18" s="441"/>
    </row>
    <row r="19" spans="1:31" s="175" customFormat="1" ht="21.75" thickBot="1">
      <c r="A19" s="560" t="s">
        <v>436</v>
      </c>
      <c r="B19" s="561"/>
      <c r="C19" s="561"/>
      <c r="D19" s="561"/>
      <c r="E19" s="559" t="s">
        <v>173</v>
      </c>
      <c r="F19" s="559"/>
      <c r="G19" s="559"/>
      <c r="H19" s="565"/>
      <c r="I19" s="182"/>
      <c r="J19" s="623" t="s">
        <v>486</v>
      </c>
      <c r="K19" s="624"/>
      <c r="L19" s="624"/>
      <c r="M19" s="624"/>
      <c r="N19" s="624"/>
      <c r="O19" s="624"/>
      <c r="P19" s="625"/>
      <c r="Q19" s="439"/>
      <c r="R19" s="508"/>
      <c r="S19" s="509"/>
      <c r="T19" s="509"/>
      <c r="U19" s="510"/>
      <c r="V19" s="510"/>
      <c r="W19" s="509"/>
      <c r="X19" s="509"/>
      <c r="Y19" s="510"/>
      <c r="Z19" s="511"/>
      <c r="AA19" s="439"/>
      <c r="AB19" s="439"/>
      <c r="AC19" s="439"/>
      <c r="AD19" s="439"/>
      <c r="AE19" s="441"/>
    </row>
    <row r="20" spans="1:31" s="175" customFormat="1" ht="19.5" thickBot="1">
      <c r="A20" s="552" t="s">
        <v>440</v>
      </c>
      <c r="B20" s="553"/>
      <c r="C20" s="553"/>
      <c r="D20" s="553"/>
      <c r="E20" s="553"/>
      <c r="F20" s="553"/>
      <c r="G20" s="553"/>
      <c r="H20" s="554"/>
      <c r="I20" s="182"/>
      <c r="J20" s="626" t="s">
        <v>489</v>
      </c>
      <c r="K20" s="627"/>
      <c r="L20" s="627"/>
      <c r="M20" s="627"/>
      <c r="N20" s="627"/>
      <c r="O20" s="627"/>
      <c r="P20" s="628"/>
      <c r="Q20" s="439"/>
      <c r="R20" s="185">
        <v>1</v>
      </c>
      <c r="S20" s="488">
        <v>0</v>
      </c>
      <c r="T20" s="488"/>
      <c r="U20" s="489">
        <f>ROUND(S20*0.0889,0)</f>
        <v>0</v>
      </c>
      <c r="V20" s="491"/>
      <c r="W20" s="488">
        <v>0</v>
      </c>
      <c r="X20" s="488"/>
      <c r="Y20" s="489">
        <f>ROUND(W20*0.091,0)</f>
        <v>0</v>
      </c>
      <c r="Z20" s="490"/>
      <c r="AA20" s="439"/>
      <c r="AB20" s="439"/>
      <c r="AC20" s="439"/>
      <c r="AD20" s="439"/>
      <c r="AE20" s="441"/>
    </row>
    <row r="21" spans="1:31" s="175" customFormat="1" ht="18.75">
      <c r="A21" s="562" t="s">
        <v>438</v>
      </c>
      <c r="B21" s="563"/>
      <c r="C21" s="563"/>
      <c r="D21" s="563"/>
      <c r="E21" s="563"/>
      <c r="F21" s="563"/>
      <c r="G21" s="563"/>
      <c r="H21" s="564"/>
      <c r="I21" s="180"/>
      <c r="J21" s="629" t="s">
        <v>487</v>
      </c>
      <c r="K21" s="630"/>
      <c r="L21" s="630"/>
      <c r="M21" s="630"/>
      <c r="N21" s="630"/>
      <c r="O21" s="630"/>
      <c r="P21" s="631"/>
      <c r="Q21" s="439"/>
      <c r="R21" s="185">
        <v>2</v>
      </c>
      <c r="S21" s="488">
        <v>0</v>
      </c>
      <c r="T21" s="488"/>
      <c r="U21" s="489">
        <f>ROUND(S21*0.0968,0)</f>
        <v>0</v>
      </c>
      <c r="V21" s="491"/>
      <c r="W21" s="488">
        <v>0</v>
      </c>
      <c r="X21" s="488"/>
      <c r="Y21" s="489">
        <f>ROUND(W21*0.0993,0)</f>
        <v>0</v>
      </c>
      <c r="Z21" s="490"/>
      <c r="AA21" s="439"/>
      <c r="AB21" s="439"/>
      <c r="AC21" s="439"/>
      <c r="AD21" s="439"/>
      <c r="AE21" s="441"/>
    </row>
    <row r="22" spans="1:31" s="175" customFormat="1" ht="18.75">
      <c r="A22" s="552" t="s">
        <v>441</v>
      </c>
      <c r="B22" s="553"/>
      <c r="C22" s="553"/>
      <c r="D22" s="553"/>
      <c r="E22" s="553"/>
      <c r="F22" s="553"/>
      <c r="G22" s="553"/>
      <c r="H22" s="554"/>
      <c r="I22" s="177"/>
      <c r="J22" s="632" t="s">
        <v>488</v>
      </c>
      <c r="K22" s="633"/>
      <c r="L22" s="633"/>
      <c r="M22" s="633"/>
      <c r="N22" s="633"/>
      <c r="O22" s="633"/>
      <c r="P22" s="634"/>
      <c r="Q22" s="439"/>
      <c r="R22" s="185">
        <v>3</v>
      </c>
      <c r="S22" s="488">
        <v>0</v>
      </c>
      <c r="T22" s="488"/>
      <c r="U22" s="489">
        <f>ROUND(S22*0.1054,0)</f>
        <v>0</v>
      </c>
      <c r="V22" s="491"/>
      <c r="W22" s="488">
        <v>0</v>
      </c>
      <c r="X22" s="488"/>
      <c r="Y22" s="489">
        <f>ROUND(W22*0.1083,0)</f>
        <v>0</v>
      </c>
      <c r="Z22" s="490"/>
      <c r="AA22" s="439"/>
      <c r="AB22" s="439"/>
      <c r="AC22" s="439"/>
      <c r="AD22" s="439"/>
      <c r="AE22" s="441"/>
    </row>
    <row r="23" spans="1:31" s="175" customFormat="1" ht="18.75" customHeight="1" thickBot="1">
      <c r="A23" s="562" t="s">
        <v>442</v>
      </c>
      <c r="B23" s="563"/>
      <c r="C23" s="563"/>
      <c r="D23" s="563"/>
      <c r="E23" s="563"/>
      <c r="F23" s="563"/>
      <c r="G23" s="563"/>
      <c r="H23" s="564"/>
      <c r="I23" s="177"/>
      <c r="J23" s="632" t="s">
        <v>490</v>
      </c>
      <c r="K23" s="633"/>
      <c r="L23" s="633"/>
      <c r="M23" s="633"/>
      <c r="N23" s="633"/>
      <c r="O23" s="633"/>
      <c r="P23" s="634"/>
      <c r="Q23" s="439"/>
      <c r="R23" s="185">
        <v>4</v>
      </c>
      <c r="S23" s="488">
        <v>0</v>
      </c>
      <c r="T23" s="488"/>
      <c r="U23" s="489">
        <f>ROUND(S23*0.1148,0)</f>
        <v>0</v>
      </c>
      <c r="V23" s="491"/>
      <c r="W23" s="488">
        <v>0</v>
      </c>
      <c r="X23" s="488"/>
      <c r="Y23" s="489">
        <f>ROUND(W23*0.1181,0)</f>
        <v>0</v>
      </c>
      <c r="Z23" s="490"/>
      <c r="AA23" s="439"/>
      <c r="AB23" s="439"/>
      <c r="AC23" s="439"/>
      <c r="AD23" s="439"/>
      <c r="AE23" s="441"/>
    </row>
    <row r="24" spans="1:31" s="175" customFormat="1" ht="18.75">
      <c r="A24" s="555" t="s">
        <v>464</v>
      </c>
      <c r="B24" s="556"/>
      <c r="C24" s="556"/>
      <c r="D24" s="556"/>
      <c r="E24" s="556"/>
      <c r="F24" s="556"/>
      <c r="G24" s="556"/>
      <c r="H24" s="557"/>
      <c r="I24" s="177"/>
      <c r="J24" s="614" t="s">
        <v>492</v>
      </c>
      <c r="K24" s="615"/>
      <c r="L24" s="615"/>
      <c r="M24" s="615"/>
      <c r="N24" s="615"/>
      <c r="O24" s="615"/>
      <c r="P24" s="616"/>
      <c r="Q24" s="439"/>
      <c r="R24" s="185">
        <v>5</v>
      </c>
      <c r="S24" s="488">
        <v>0</v>
      </c>
      <c r="T24" s="488"/>
      <c r="U24" s="489">
        <f>ROUND(S24*0.125,0)</f>
        <v>0</v>
      </c>
      <c r="V24" s="491"/>
      <c r="W24" s="488">
        <v>0</v>
      </c>
      <c r="X24" s="488"/>
      <c r="Y24" s="489">
        <f>ROUND(W24*0.1289,0)</f>
        <v>0</v>
      </c>
      <c r="Z24" s="490"/>
      <c r="AA24" s="439"/>
      <c r="AB24" s="439"/>
      <c r="AC24" s="439"/>
      <c r="AD24" s="439"/>
      <c r="AE24" s="441"/>
    </row>
    <row r="25" spans="1:31" s="175" customFormat="1" ht="18.75">
      <c r="A25" s="186" t="s">
        <v>443</v>
      </c>
      <c r="B25" s="547" t="s">
        <v>445</v>
      </c>
      <c r="C25" s="547"/>
      <c r="D25" s="547"/>
      <c r="E25" s="547"/>
      <c r="F25" s="545" t="s">
        <v>446</v>
      </c>
      <c r="G25" s="545"/>
      <c r="H25" s="546"/>
      <c r="I25" s="177"/>
      <c r="J25" s="617"/>
      <c r="K25" s="618"/>
      <c r="L25" s="618"/>
      <c r="M25" s="618"/>
      <c r="N25" s="618"/>
      <c r="O25" s="618"/>
      <c r="P25" s="619"/>
      <c r="Q25" s="439"/>
      <c r="R25" s="185">
        <v>6</v>
      </c>
      <c r="S25" s="488">
        <v>0</v>
      </c>
      <c r="T25" s="488"/>
      <c r="U25" s="489">
        <f>ROUND(S25*0.1361,0)</f>
        <v>0</v>
      </c>
      <c r="V25" s="491"/>
      <c r="W25" s="488">
        <v>0</v>
      </c>
      <c r="X25" s="488"/>
      <c r="Y25" s="489">
        <f>ROUND(W25*0.1406,0)</f>
        <v>0</v>
      </c>
      <c r="Z25" s="490"/>
      <c r="AA25" s="439"/>
      <c r="AB25" s="439"/>
      <c r="AC25" s="439"/>
      <c r="AD25" s="439"/>
      <c r="AE25" s="441"/>
    </row>
    <row r="26" spans="1:31" s="175" customFormat="1" ht="19.5" thickBot="1">
      <c r="A26" s="187" t="s">
        <v>444</v>
      </c>
      <c r="B26" s="538" t="s">
        <v>447</v>
      </c>
      <c r="C26" s="538"/>
      <c r="D26" s="538"/>
      <c r="E26" s="538"/>
      <c r="F26" s="542" t="s">
        <v>481</v>
      </c>
      <c r="G26" s="543"/>
      <c r="H26" s="544"/>
      <c r="I26" s="177"/>
      <c r="J26" s="620"/>
      <c r="K26" s="621"/>
      <c r="L26" s="621"/>
      <c r="M26" s="621"/>
      <c r="N26" s="621"/>
      <c r="O26" s="621"/>
      <c r="P26" s="622"/>
      <c r="Q26" s="439"/>
      <c r="R26" s="185">
        <v>7</v>
      </c>
      <c r="S26" s="488">
        <v>0</v>
      </c>
      <c r="T26" s="488"/>
      <c r="U26" s="489">
        <f>ROUND(S26*0.1482,0)</f>
        <v>0</v>
      </c>
      <c r="V26" s="491"/>
      <c r="W26" s="488">
        <v>0</v>
      </c>
      <c r="X26" s="488"/>
      <c r="Y26" s="489">
        <f>ROUND(W26*0.1534,0)</f>
        <v>0</v>
      </c>
      <c r="Z26" s="490"/>
      <c r="AA26" s="439"/>
      <c r="AB26" s="439"/>
      <c r="AC26" s="439"/>
      <c r="AD26" s="439"/>
      <c r="AE26" s="441"/>
    </row>
    <row r="27" spans="1:31" s="175" customFormat="1" ht="19.5" thickBot="1">
      <c r="A27" s="187" t="s">
        <v>448</v>
      </c>
      <c r="B27" s="536" t="s">
        <v>449</v>
      </c>
      <c r="C27" s="536"/>
      <c r="D27" s="536"/>
      <c r="E27" s="536"/>
      <c r="F27" s="542" t="s">
        <v>484</v>
      </c>
      <c r="G27" s="543"/>
      <c r="H27" s="544"/>
      <c r="I27" s="177"/>
      <c r="J27" s="177"/>
      <c r="K27" s="177"/>
      <c r="L27" s="177"/>
      <c r="M27" s="177"/>
      <c r="N27" s="177"/>
      <c r="O27" s="177"/>
      <c r="P27" s="177"/>
      <c r="Q27" s="439"/>
      <c r="R27" s="185">
        <v>8</v>
      </c>
      <c r="S27" s="488">
        <v>0</v>
      </c>
      <c r="T27" s="488"/>
      <c r="U27" s="489">
        <f>ROUND(S27*0.1613,0)</f>
        <v>0</v>
      </c>
      <c r="V27" s="491"/>
      <c r="W27" s="488">
        <v>0</v>
      </c>
      <c r="X27" s="488"/>
      <c r="Y27" s="489">
        <f>ROUND(W27*0.1674,0)</f>
        <v>0</v>
      </c>
      <c r="Z27" s="490"/>
      <c r="AA27" s="439"/>
      <c r="AB27" s="439"/>
      <c r="AC27" s="439"/>
      <c r="AD27" s="439"/>
      <c r="AE27" s="441"/>
    </row>
    <row r="28" spans="1:31" s="175" customFormat="1" ht="18.75" customHeight="1">
      <c r="A28" s="606" t="s">
        <v>479</v>
      </c>
      <c r="B28" s="600" t="s">
        <v>485</v>
      </c>
      <c r="C28" s="601"/>
      <c r="D28" s="601"/>
      <c r="E28" s="602"/>
      <c r="F28" s="608" t="s">
        <v>480</v>
      </c>
      <c r="G28" s="609"/>
      <c r="H28" s="610"/>
      <c r="I28" s="177"/>
      <c r="J28" s="475" t="s">
        <v>567</v>
      </c>
      <c r="K28" s="476"/>
      <c r="L28" s="476"/>
      <c r="M28" s="476"/>
      <c r="N28" s="476"/>
      <c r="O28" s="476"/>
      <c r="P28" s="477"/>
      <c r="Q28" s="439"/>
      <c r="R28" s="185">
        <v>9</v>
      </c>
      <c r="S28" s="488">
        <v>0</v>
      </c>
      <c r="T28" s="488"/>
      <c r="U28" s="489">
        <f>ROUND(S28*0.1757,0)</f>
        <v>0</v>
      </c>
      <c r="V28" s="491"/>
      <c r="W28" s="488">
        <v>0</v>
      </c>
      <c r="X28" s="488"/>
      <c r="Y28" s="489">
        <f>ROUND(W28*0.1826,0)</f>
        <v>0</v>
      </c>
      <c r="Z28" s="490"/>
      <c r="AA28" s="439"/>
      <c r="AB28" s="439"/>
      <c r="AC28" s="439"/>
      <c r="AD28" s="439"/>
      <c r="AE28" s="441"/>
    </row>
    <row r="29" spans="1:31" s="175" customFormat="1" ht="21.75" thickBot="1">
      <c r="A29" s="607"/>
      <c r="B29" s="603"/>
      <c r="C29" s="604"/>
      <c r="D29" s="604"/>
      <c r="E29" s="605"/>
      <c r="F29" s="611"/>
      <c r="G29" s="612"/>
      <c r="H29" s="613"/>
      <c r="I29" s="177"/>
      <c r="J29" s="474" t="s">
        <v>573</v>
      </c>
      <c r="K29" s="472"/>
      <c r="L29" s="472"/>
      <c r="M29" s="472"/>
      <c r="N29" s="472" t="s">
        <v>572</v>
      </c>
      <c r="O29" s="472"/>
      <c r="P29" s="473"/>
      <c r="Q29" s="439"/>
      <c r="R29" s="188">
        <v>10</v>
      </c>
      <c r="S29" s="488">
        <v>0</v>
      </c>
      <c r="T29" s="488"/>
      <c r="U29" s="495">
        <f>ROUND(S29*0.1913,0)</f>
        <v>0</v>
      </c>
      <c r="V29" s="496"/>
      <c r="W29" s="488">
        <v>0</v>
      </c>
      <c r="X29" s="488"/>
      <c r="Y29" s="495">
        <f>ROUND(W29*0.1992,0)</f>
        <v>0</v>
      </c>
      <c r="Z29" s="497"/>
      <c r="AA29" s="439"/>
      <c r="AB29" s="439"/>
      <c r="AC29" s="439"/>
      <c r="AD29" s="439"/>
      <c r="AE29" s="441"/>
    </row>
    <row r="30" spans="1:31" s="175" customFormat="1" ht="21.75" thickBot="1">
      <c r="A30" s="528" t="s">
        <v>450</v>
      </c>
      <c r="B30" s="535" t="s">
        <v>451</v>
      </c>
      <c r="C30" s="535"/>
      <c r="D30" s="535"/>
      <c r="E30" s="535"/>
      <c r="F30" s="531" t="s">
        <v>482</v>
      </c>
      <c r="G30" s="531"/>
      <c r="H30" s="540"/>
      <c r="I30" s="177"/>
      <c r="J30" s="478" t="s">
        <v>568</v>
      </c>
      <c r="K30" s="479"/>
      <c r="L30" s="479"/>
      <c r="M30" s="479"/>
      <c r="N30" s="482" t="s">
        <v>574</v>
      </c>
      <c r="O30" s="482"/>
      <c r="P30" s="483"/>
      <c r="Q30" s="439"/>
      <c r="R30" s="444"/>
      <c r="S30" s="444"/>
      <c r="T30" s="444"/>
      <c r="U30" s="444"/>
      <c r="V30" s="444"/>
      <c r="W30" s="444"/>
      <c r="X30" s="444"/>
      <c r="Y30" s="444"/>
      <c r="Z30" s="444"/>
      <c r="AA30" s="439"/>
      <c r="AB30" s="439"/>
      <c r="AC30" s="439"/>
      <c r="AD30" s="439"/>
      <c r="AE30" s="441"/>
    </row>
    <row r="31" spans="1:31" s="175" customFormat="1" ht="21" customHeight="1">
      <c r="A31" s="530"/>
      <c r="B31" s="535"/>
      <c r="C31" s="535"/>
      <c r="D31" s="535"/>
      <c r="E31" s="535"/>
      <c r="F31" s="531"/>
      <c r="G31" s="531"/>
      <c r="H31" s="540"/>
      <c r="I31" s="177"/>
      <c r="J31" s="478" t="s">
        <v>569</v>
      </c>
      <c r="K31" s="479"/>
      <c r="L31" s="479"/>
      <c r="M31" s="479"/>
      <c r="N31" s="484">
        <v>0.1</v>
      </c>
      <c r="O31" s="482"/>
      <c r="P31" s="483"/>
      <c r="Q31" s="439"/>
      <c r="R31" s="469" t="s">
        <v>591</v>
      </c>
      <c r="S31" s="463" t="s">
        <v>589</v>
      </c>
      <c r="T31" s="463"/>
      <c r="U31" s="463"/>
      <c r="V31" s="463"/>
      <c r="W31" s="463"/>
      <c r="X31" s="463"/>
      <c r="Y31" s="463"/>
      <c r="Z31" s="464"/>
      <c r="AA31" s="439"/>
      <c r="AB31" s="439"/>
      <c r="AC31" s="439"/>
      <c r="AD31" s="439"/>
      <c r="AE31" s="441"/>
    </row>
    <row r="32" spans="1:31" s="175" customFormat="1" ht="21">
      <c r="A32" s="528" t="s">
        <v>452</v>
      </c>
      <c r="B32" s="531" t="s">
        <v>453</v>
      </c>
      <c r="C32" s="531"/>
      <c r="D32" s="531"/>
      <c r="E32" s="531"/>
      <c r="F32" s="532" t="s">
        <v>481</v>
      </c>
      <c r="G32" s="533"/>
      <c r="H32" s="534"/>
      <c r="I32" s="177"/>
      <c r="J32" s="478" t="s">
        <v>570</v>
      </c>
      <c r="K32" s="479"/>
      <c r="L32" s="479"/>
      <c r="M32" s="479"/>
      <c r="N32" s="484">
        <v>0.2</v>
      </c>
      <c r="O32" s="482"/>
      <c r="P32" s="483"/>
      <c r="Q32" s="439"/>
      <c r="R32" s="470"/>
      <c r="S32" s="465"/>
      <c r="T32" s="465"/>
      <c r="U32" s="465"/>
      <c r="V32" s="465"/>
      <c r="W32" s="465"/>
      <c r="X32" s="465"/>
      <c r="Y32" s="465"/>
      <c r="Z32" s="466"/>
      <c r="AA32" s="439"/>
      <c r="AB32" s="439"/>
      <c r="AC32" s="439"/>
      <c r="AD32" s="439"/>
      <c r="AE32" s="441"/>
    </row>
    <row r="33" spans="1:31" s="175" customFormat="1" ht="21.75" thickBot="1">
      <c r="A33" s="530"/>
      <c r="B33" s="531"/>
      <c r="C33" s="531"/>
      <c r="D33" s="531"/>
      <c r="E33" s="531"/>
      <c r="F33" s="533"/>
      <c r="G33" s="533"/>
      <c r="H33" s="534"/>
      <c r="I33" s="177"/>
      <c r="J33" s="480" t="s">
        <v>571</v>
      </c>
      <c r="K33" s="481"/>
      <c r="L33" s="481"/>
      <c r="M33" s="481"/>
      <c r="N33" s="485">
        <v>0.3</v>
      </c>
      <c r="O33" s="486"/>
      <c r="P33" s="487"/>
      <c r="Q33" s="439"/>
      <c r="R33" s="471"/>
      <c r="S33" s="467"/>
      <c r="T33" s="467"/>
      <c r="U33" s="467"/>
      <c r="V33" s="467"/>
      <c r="W33" s="467"/>
      <c r="X33" s="467"/>
      <c r="Y33" s="467"/>
      <c r="Z33" s="468"/>
      <c r="AA33" s="439"/>
      <c r="AB33" s="439"/>
      <c r="AC33" s="439"/>
      <c r="AD33" s="439"/>
      <c r="AE33" s="441"/>
    </row>
    <row r="34" spans="1:31" s="175" customFormat="1" ht="19.5" thickBot="1">
      <c r="A34" s="528" t="s">
        <v>454</v>
      </c>
      <c r="B34" s="535" t="s">
        <v>455</v>
      </c>
      <c r="C34" s="535"/>
      <c r="D34" s="535"/>
      <c r="E34" s="535"/>
      <c r="F34" s="535" t="s">
        <v>456</v>
      </c>
      <c r="G34" s="535"/>
      <c r="H34" s="541"/>
      <c r="I34" s="177"/>
      <c r="J34" s="177"/>
      <c r="K34" s="177"/>
      <c r="L34" s="177"/>
      <c r="M34" s="177"/>
      <c r="N34" s="177"/>
      <c r="O34" s="177"/>
      <c r="P34" s="177"/>
      <c r="Q34" s="439"/>
      <c r="R34" s="444"/>
      <c r="S34" s="444"/>
      <c r="T34" s="444"/>
      <c r="U34" s="444"/>
      <c r="V34" s="444"/>
      <c r="W34" s="444"/>
      <c r="X34" s="444"/>
      <c r="Y34" s="444"/>
      <c r="Z34" s="444"/>
      <c r="AA34" s="439"/>
      <c r="AB34" s="439"/>
      <c r="AC34" s="439"/>
      <c r="AD34" s="439"/>
      <c r="AE34" s="441"/>
    </row>
    <row r="35" spans="1:31" s="175" customFormat="1" ht="25.5" customHeight="1">
      <c r="A35" s="530"/>
      <c r="B35" s="535"/>
      <c r="C35" s="535"/>
      <c r="D35" s="535"/>
      <c r="E35" s="535"/>
      <c r="F35" s="535"/>
      <c r="G35" s="535"/>
      <c r="H35" s="541"/>
      <c r="I35" s="177"/>
      <c r="J35" s="445" t="s">
        <v>586</v>
      </c>
      <c r="K35" s="446"/>
      <c r="L35" s="446"/>
      <c r="M35" s="446"/>
      <c r="N35" s="446"/>
      <c r="O35" s="446"/>
      <c r="P35" s="447"/>
      <c r="Q35" s="439"/>
      <c r="R35" s="460" t="s">
        <v>590</v>
      </c>
      <c r="S35" s="454" t="s">
        <v>588</v>
      </c>
      <c r="T35" s="454"/>
      <c r="U35" s="454"/>
      <c r="V35" s="454"/>
      <c r="W35" s="454"/>
      <c r="X35" s="454"/>
      <c r="Y35" s="454"/>
      <c r="Z35" s="455"/>
      <c r="AA35" s="439"/>
      <c r="AB35" s="439"/>
      <c r="AC35" s="439"/>
      <c r="AD35" s="439"/>
      <c r="AE35" s="441"/>
    </row>
    <row r="36" spans="1:31" s="175" customFormat="1" ht="18.75">
      <c r="A36" s="528" t="s">
        <v>457</v>
      </c>
      <c r="B36" s="531" t="s">
        <v>458</v>
      </c>
      <c r="C36" s="531"/>
      <c r="D36" s="531"/>
      <c r="E36" s="531"/>
      <c r="F36" s="532" t="s">
        <v>483</v>
      </c>
      <c r="G36" s="533"/>
      <c r="H36" s="534"/>
      <c r="I36" s="177"/>
      <c r="J36" s="448" t="s">
        <v>587</v>
      </c>
      <c r="K36" s="449"/>
      <c r="L36" s="449"/>
      <c r="M36" s="449"/>
      <c r="N36" s="449"/>
      <c r="O36" s="449"/>
      <c r="P36" s="450"/>
      <c r="Q36" s="439"/>
      <c r="R36" s="461"/>
      <c r="S36" s="456"/>
      <c r="T36" s="456"/>
      <c r="U36" s="456"/>
      <c r="V36" s="456"/>
      <c r="W36" s="456"/>
      <c r="X36" s="456"/>
      <c r="Y36" s="456"/>
      <c r="Z36" s="457"/>
      <c r="AA36" s="439"/>
      <c r="AB36" s="439"/>
      <c r="AC36" s="439"/>
      <c r="AD36" s="439"/>
      <c r="AE36" s="441"/>
    </row>
    <row r="37" spans="1:31" s="175" customFormat="1" ht="19.5" thickBot="1">
      <c r="A37" s="530"/>
      <c r="B37" s="531"/>
      <c r="C37" s="531"/>
      <c r="D37" s="531"/>
      <c r="E37" s="531"/>
      <c r="F37" s="533"/>
      <c r="G37" s="533"/>
      <c r="H37" s="534"/>
      <c r="I37" s="177"/>
      <c r="J37" s="448"/>
      <c r="K37" s="449"/>
      <c r="L37" s="449"/>
      <c r="M37" s="449"/>
      <c r="N37" s="449"/>
      <c r="O37" s="449"/>
      <c r="P37" s="450"/>
      <c r="Q37" s="439"/>
      <c r="R37" s="462"/>
      <c r="S37" s="458"/>
      <c r="T37" s="458"/>
      <c r="U37" s="458"/>
      <c r="V37" s="458"/>
      <c r="W37" s="458"/>
      <c r="X37" s="458"/>
      <c r="Y37" s="458"/>
      <c r="Z37" s="459"/>
      <c r="AA37" s="439"/>
      <c r="AB37" s="439"/>
      <c r="AC37" s="439"/>
      <c r="AD37" s="439"/>
      <c r="AE37" s="441"/>
    </row>
    <row r="38" spans="1:31" s="175" customFormat="1" ht="18.75">
      <c r="A38" s="528" t="s">
        <v>454</v>
      </c>
      <c r="B38" s="80" t="s">
        <v>459</v>
      </c>
      <c r="C38" s="189"/>
      <c r="D38" s="189"/>
      <c r="E38" s="189"/>
      <c r="F38" s="536" t="s">
        <v>461</v>
      </c>
      <c r="G38" s="536"/>
      <c r="H38" s="537"/>
      <c r="I38" s="177"/>
      <c r="J38" s="448"/>
      <c r="K38" s="449"/>
      <c r="L38" s="449"/>
      <c r="M38" s="449"/>
      <c r="N38" s="449"/>
      <c r="O38" s="449"/>
      <c r="P38" s="450"/>
      <c r="Q38" s="439"/>
      <c r="R38" s="442"/>
      <c r="S38" s="442"/>
      <c r="T38" s="442"/>
      <c r="U38" s="442"/>
      <c r="V38" s="442"/>
      <c r="W38" s="442"/>
      <c r="X38" s="442"/>
      <c r="Y38" s="442"/>
      <c r="Z38" s="442"/>
      <c r="AA38" s="439"/>
      <c r="AB38" s="439"/>
      <c r="AC38" s="439"/>
      <c r="AD38" s="439"/>
      <c r="AE38" s="441"/>
    </row>
    <row r="39" spans="1:31" s="175" customFormat="1" ht="18.75">
      <c r="A39" s="529"/>
      <c r="B39" s="535" t="s">
        <v>460</v>
      </c>
      <c r="C39" s="535"/>
      <c r="D39" s="535"/>
      <c r="E39" s="535"/>
      <c r="F39" s="538" t="s">
        <v>462</v>
      </c>
      <c r="G39" s="538"/>
      <c r="H39" s="539"/>
      <c r="I39" s="177"/>
      <c r="J39" s="448"/>
      <c r="K39" s="449"/>
      <c r="L39" s="449"/>
      <c r="M39" s="449"/>
      <c r="N39" s="449"/>
      <c r="O39" s="449"/>
      <c r="P39" s="450"/>
      <c r="Q39" s="439"/>
      <c r="R39" s="443"/>
      <c r="S39" s="443"/>
      <c r="T39" s="443"/>
      <c r="U39" s="443"/>
      <c r="V39" s="443"/>
      <c r="W39" s="443"/>
      <c r="X39" s="443"/>
      <c r="Y39" s="443"/>
      <c r="Z39" s="443"/>
      <c r="AA39" s="439"/>
      <c r="AB39" s="439"/>
      <c r="AC39" s="439"/>
      <c r="AD39" s="439"/>
      <c r="AE39" s="441"/>
    </row>
    <row r="40" spans="1:31" s="175" customFormat="1" ht="18.75">
      <c r="A40" s="530"/>
      <c r="B40" s="535"/>
      <c r="C40" s="535"/>
      <c r="D40" s="535"/>
      <c r="E40" s="535"/>
      <c r="F40" s="538"/>
      <c r="G40" s="538"/>
      <c r="H40" s="539"/>
      <c r="I40" s="177"/>
      <c r="J40" s="448"/>
      <c r="K40" s="449"/>
      <c r="L40" s="449"/>
      <c r="M40" s="449"/>
      <c r="N40" s="449"/>
      <c r="O40" s="449"/>
      <c r="P40" s="450"/>
      <c r="Q40" s="439"/>
      <c r="R40" s="443"/>
      <c r="S40" s="443"/>
      <c r="T40" s="443"/>
      <c r="U40" s="443"/>
      <c r="V40" s="443"/>
      <c r="W40" s="443"/>
      <c r="X40" s="443"/>
      <c r="Y40" s="443"/>
      <c r="Z40" s="443"/>
      <c r="AA40" s="439"/>
      <c r="AB40" s="439"/>
      <c r="AC40" s="439"/>
      <c r="AD40" s="439"/>
      <c r="AE40" s="441"/>
    </row>
    <row r="41" spans="1:31" s="175" customFormat="1" ht="22.5" customHeight="1" thickBot="1">
      <c r="A41" s="516" t="s">
        <v>465</v>
      </c>
      <c r="B41" s="517"/>
      <c r="C41" s="517"/>
      <c r="D41" s="517"/>
      <c r="E41" s="517"/>
      <c r="F41" s="517"/>
      <c r="G41" s="517"/>
      <c r="H41" s="518"/>
      <c r="I41" s="177"/>
      <c r="J41" s="451"/>
      <c r="K41" s="452"/>
      <c r="L41" s="452"/>
      <c r="M41" s="452"/>
      <c r="N41" s="452"/>
      <c r="O41" s="452"/>
      <c r="P41" s="453"/>
      <c r="Q41" s="439"/>
      <c r="R41" s="443"/>
      <c r="S41" s="443"/>
      <c r="T41" s="443"/>
      <c r="U41" s="443"/>
      <c r="V41" s="443"/>
      <c r="W41" s="443"/>
      <c r="X41" s="443"/>
      <c r="Y41" s="443"/>
      <c r="Z41" s="443"/>
      <c r="AA41" s="439"/>
      <c r="AB41" s="439"/>
      <c r="AC41" s="439"/>
      <c r="AD41" s="439"/>
      <c r="AE41" s="441"/>
    </row>
    <row r="42" spans="1:31" s="175" customFormat="1" ht="18.75">
      <c r="A42" s="588" t="s">
        <v>491</v>
      </c>
      <c r="B42" s="589"/>
      <c r="C42" s="589"/>
      <c r="D42" s="589"/>
      <c r="E42" s="589"/>
      <c r="F42" s="589"/>
      <c r="G42" s="589"/>
      <c r="H42" s="590"/>
      <c r="I42" s="177"/>
      <c r="J42" s="177"/>
      <c r="K42" s="177"/>
      <c r="L42" s="177"/>
      <c r="M42" s="177"/>
      <c r="N42" s="177"/>
      <c r="O42" s="177"/>
      <c r="P42" s="177"/>
      <c r="Q42" s="439"/>
      <c r="R42" s="443"/>
      <c r="S42" s="443"/>
      <c r="T42" s="443"/>
      <c r="U42" s="443"/>
      <c r="V42" s="443"/>
      <c r="W42" s="443"/>
      <c r="X42" s="443"/>
      <c r="Y42" s="443"/>
      <c r="Z42" s="443"/>
      <c r="AA42" s="439"/>
      <c r="AB42" s="439"/>
      <c r="AC42" s="439"/>
      <c r="AD42" s="439"/>
      <c r="AE42" s="441"/>
    </row>
    <row r="43" spans="1:31" s="175" customFormat="1" ht="22.5" customHeight="1" thickBot="1">
      <c r="A43" s="591"/>
      <c r="B43" s="592"/>
      <c r="C43" s="592"/>
      <c r="D43" s="592"/>
      <c r="E43" s="592"/>
      <c r="F43" s="592"/>
      <c r="G43" s="592"/>
      <c r="H43" s="593"/>
      <c r="I43" s="177"/>
      <c r="J43" s="177"/>
      <c r="K43" s="177"/>
      <c r="L43" s="177"/>
      <c r="M43" s="177"/>
      <c r="N43" s="177"/>
      <c r="O43" s="177"/>
      <c r="P43" s="177"/>
      <c r="Q43" s="439"/>
      <c r="R43" s="443"/>
      <c r="S43" s="443"/>
      <c r="T43" s="443"/>
      <c r="U43" s="443"/>
      <c r="V43" s="443"/>
      <c r="W43" s="443"/>
      <c r="X43" s="443"/>
      <c r="Y43" s="443"/>
      <c r="Z43" s="443"/>
      <c r="AA43" s="439"/>
      <c r="AB43" s="439"/>
      <c r="AC43" s="439"/>
      <c r="AD43" s="439"/>
      <c r="AE43" s="441"/>
    </row>
    <row r="44" spans="1:31" s="439" customFormat="1" ht="18.75"/>
    <row r="45" spans="1:31" s="175" customFormat="1" ht="18.75" hidden="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row>
    <row r="46" spans="1:31" s="175" customFormat="1" ht="18.75" hidden="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row>
    <row r="47" spans="1:31" s="175" customFormat="1" ht="18.75" hidden="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row>
    <row r="48" spans="1:31" s="175" customFormat="1" ht="18.75" hidden="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row>
    <row r="49" spans="1:31" s="175" customFormat="1" ht="18.75" hidden="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row>
    <row r="50" spans="1:31" s="175" customFormat="1" ht="18.75" hidden="1">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row>
    <row r="51" spans="1:31" s="175" customFormat="1" ht="18.75" hidden="1">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row>
    <row r="52" spans="1:31" s="175" customFormat="1" ht="18.75" hidden="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row>
    <row r="53" spans="1:31" s="175" customFormat="1" ht="18.75" hidden="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row>
    <row r="54" spans="1:31" s="175" customFormat="1" ht="18.75" hidden="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row>
    <row r="55" spans="1:31" s="175" customFormat="1" ht="18.75" hidden="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row>
    <row r="56" spans="1:31" s="175" customFormat="1" ht="18.75" hidden="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row>
    <row r="57" spans="1:31" s="175" customFormat="1" ht="18.75" hidden="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row>
    <row r="58" spans="1:31" s="175" customFormat="1" ht="18.75" hidden="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row>
    <row r="59" spans="1:31" s="175" customFormat="1" ht="18.75" hidden="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row>
    <row r="60" spans="1:31" s="175" customFormat="1" ht="18.75" hidden="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row>
    <row r="61" spans="1:31" s="175" customFormat="1" ht="18.75" hidden="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row>
    <row r="62" spans="1:31" s="175" customFormat="1" ht="18.75" hidden="1">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row>
    <row r="63" spans="1:31" s="175" customFormat="1" ht="18.75" hidden="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row>
    <row r="64" spans="1:31" s="175" customFormat="1" ht="18.75" hidden="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row>
    <row r="65" spans="1:31" s="175" customFormat="1" ht="18.75" hidden="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row>
    <row r="66" spans="1:31" s="175" customFormat="1" ht="18.75" hidden="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row>
    <row r="67" spans="1:31" s="175" customFormat="1" ht="18.75" hidden="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row>
    <row r="68" spans="1:31" s="175" customFormat="1" ht="18.75" hidden="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row>
    <row r="69" spans="1:31" s="175" customFormat="1" ht="18.75" hidden="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row>
    <row r="70" spans="1:31" s="175" customFormat="1" ht="18.75" hidden="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row>
    <row r="71" spans="1:31" s="175" customFormat="1" ht="18.75" hidden="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row>
    <row r="72" spans="1:31" s="175" customFormat="1" ht="18.75" hidden="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row>
    <row r="73" spans="1:31" s="175" customFormat="1" ht="18.75" hidden="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row>
  </sheetData>
  <sheetProtection password="CC21" sheet="1" objects="1" scenarios="1" selectLockedCells="1"/>
  <mergeCells count="205">
    <mergeCell ref="A42:H43"/>
    <mergeCell ref="J3:P3"/>
    <mergeCell ref="G1:S1"/>
    <mergeCell ref="B28:E29"/>
    <mergeCell ref="A28:A29"/>
    <mergeCell ref="F28:H29"/>
    <mergeCell ref="J24:P26"/>
    <mergeCell ref="J19:P19"/>
    <mergeCell ref="J20:P20"/>
    <mergeCell ref="J21:P21"/>
    <mergeCell ref="J22:P22"/>
    <mergeCell ref="J23:P23"/>
    <mergeCell ref="L14:N15"/>
    <mergeCell ref="O14:P15"/>
    <mergeCell ref="L16:N17"/>
    <mergeCell ref="O16:P17"/>
    <mergeCell ref="R15:Z15"/>
    <mergeCell ref="J14:K17"/>
    <mergeCell ref="O4:P5"/>
    <mergeCell ref="L4:N5"/>
    <mergeCell ref="O6:P7"/>
    <mergeCell ref="O8:P9"/>
    <mergeCell ref="L10:N11"/>
    <mergeCell ref="O10:P11"/>
    <mergeCell ref="A21:H21"/>
    <mergeCell ref="L12:N13"/>
    <mergeCell ref="O12:P13"/>
    <mergeCell ref="J6:K9"/>
    <mergeCell ref="J10:K13"/>
    <mergeCell ref="J4:K5"/>
    <mergeCell ref="L6:N7"/>
    <mergeCell ref="L8:N9"/>
    <mergeCell ref="A1:D1"/>
    <mergeCell ref="C5:H7"/>
    <mergeCell ref="A10:H10"/>
    <mergeCell ref="A3:H3"/>
    <mergeCell ref="A2:AD2"/>
    <mergeCell ref="E1:F1"/>
    <mergeCell ref="T1:AD1"/>
    <mergeCell ref="W4:Z5"/>
    <mergeCell ref="W6:X7"/>
    <mergeCell ref="Y6:Z7"/>
    <mergeCell ref="AA4:AD5"/>
    <mergeCell ref="AA6:AB7"/>
    <mergeCell ref="AC6:AD7"/>
    <mergeCell ref="R4:R5"/>
    <mergeCell ref="R6:R7"/>
    <mergeCell ref="S6:T7"/>
    <mergeCell ref="B25:E25"/>
    <mergeCell ref="A8:B9"/>
    <mergeCell ref="C8:H9"/>
    <mergeCell ref="A11:H11"/>
    <mergeCell ref="A20:H20"/>
    <mergeCell ref="A24:H24"/>
    <mergeCell ref="A12:D12"/>
    <mergeCell ref="A13:D13"/>
    <mergeCell ref="A14:D14"/>
    <mergeCell ref="A15:D15"/>
    <mergeCell ref="A16:D16"/>
    <mergeCell ref="A17:D17"/>
    <mergeCell ref="A18:D18"/>
    <mergeCell ref="A23:H23"/>
    <mergeCell ref="A22:H22"/>
    <mergeCell ref="E19:H19"/>
    <mergeCell ref="E13:H13"/>
    <mergeCell ref="E14:H14"/>
    <mergeCell ref="E15:H15"/>
    <mergeCell ref="E16:H16"/>
    <mergeCell ref="A19:D19"/>
    <mergeCell ref="E12:H12"/>
    <mergeCell ref="E17:H17"/>
    <mergeCell ref="E18:H18"/>
    <mergeCell ref="A41:H41"/>
    <mergeCell ref="A4:H4"/>
    <mergeCell ref="A5:B7"/>
    <mergeCell ref="A38:A40"/>
    <mergeCell ref="A36:A37"/>
    <mergeCell ref="A34:A35"/>
    <mergeCell ref="A32:A33"/>
    <mergeCell ref="A30:A31"/>
    <mergeCell ref="B36:E37"/>
    <mergeCell ref="F36:H37"/>
    <mergeCell ref="B39:E40"/>
    <mergeCell ref="F38:H38"/>
    <mergeCell ref="F39:H40"/>
    <mergeCell ref="B32:E33"/>
    <mergeCell ref="F32:H33"/>
    <mergeCell ref="F30:H31"/>
    <mergeCell ref="B34:E35"/>
    <mergeCell ref="F34:H35"/>
    <mergeCell ref="F26:H26"/>
    <mergeCell ref="B26:E26"/>
    <mergeCell ref="B27:E27"/>
    <mergeCell ref="F27:H27"/>
    <mergeCell ref="B30:E31"/>
    <mergeCell ref="F25:H25"/>
    <mergeCell ref="U6:V7"/>
    <mergeCell ref="S4:V5"/>
    <mergeCell ref="S13:T13"/>
    <mergeCell ref="U8:V8"/>
    <mergeCell ref="U9:V9"/>
    <mergeCell ref="U10:V10"/>
    <mergeCell ref="U11:V11"/>
    <mergeCell ref="U12:V12"/>
    <mergeCell ref="U13:V13"/>
    <mergeCell ref="S8:T8"/>
    <mergeCell ref="S9:T9"/>
    <mergeCell ref="S10:T10"/>
    <mergeCell ref="S11:T11"/>
    <mergeCell ref="S12:T12"/>
    <mergeCell ref="AA11:AB11"/>
    <mergeCell ref="AC11:AD11"/>
    <mergeCell ref="AA12:AB12"/>
    <mergeCell ref="AC12:AD12"/>
    <mergeCell ref="W13:AD13"/>
    <mergeCell ref="AA8:AB8"/>
    <mergeCell ref="AC8:AD8"/>
    <mergeCell ref="AA9:AB9"/>
    <mergeCell ref="AC9:AD9"/>
    <mergeCell ref="AA10:AB10"/>
    <mergeCell ref="AC10:AD10"/>
    <mergeCell ref="W11:X11"/>
    <mergeCell ref="Y11:Z11"/>
    <mergeCell ref="W12:X12"/>
    <mergeCell ref="Y12:Z12"/>
    <mergeCell ref="W8:X8"/>
    <mergeCell ref="Y8:Z8"/>
    <mergeCell ref="W9:X9"/>
    <mergeCell ref="Y9:Z9"/>
    <mergeCell ref="W10:X10"/>
    <mergeCell ref="Y10:Z10"/>
    <mergeCell ref="Y20:Z20"/>
    <mergeCell ref="S21:T21"/>
    <mergeCell ref="U21:V21"/>
    <mergeCell ref="W21:X21"/>
    <mergeCell ref="Y21:Z21"/>
    <mergeCell ref="R16:R17"/>
    <mergeCell ref="S16:V17"/>
    <mergeCell ref="W16:Z17"/>
    <mergeCell ref="R18:R19"/>
    <mergeCell ref="S18:T19"/>
    <mergeCell ref="U18:V19"/>
    <mergeCell ref="W18:X19"/>
    <mergeCell ref="Y18:Z19"/>
    <mergeCell ref="S20:T20"/>
    <mergeCell ref="U20:V20"/>
    <mergeCell ref="W20:X20"/>
    <mergeCell ref="R3:AD3"/>
    <mergeCell ref="S28:T28"/>
    <mergeCell ref="U28:V28"/>
    <mergeCell ref="W28:X28"/>
    <mergeCell ref="Y28:Z28"/>
    <mergeCell ref="S29:T29"/>
    <mergeCell ref="U29:V29"/>
    <mergeCell ref="W29:X29"/>
    <mergeCell ref="Y29:Z29"/>
    <mergeCell ref="S26:T26"/>
    <mergeCell ref="U26:V26"/>
    <mergeCell ref="W26:X26"/>
    <mergeCell ref="Y26:Z26"/>
    <mergeCell ref="S27:T27"/>
    <mergeCell ref="U27:V27"/>
    <mergeCell ref="W27:X27"/>
    <mergeCell ref="Y27:Z27"/>
    <mergeCell ref="S24:T24"/>
    <mergeCell ref="U24:V24"/>
    <mergeCell ref="W24:X24"/>
    <mergeCell ref="Y24:Z24"/>
    <mergeCell ref="Y25:Z25"/>
    <mergeCell ref="S22:T22"/>
    <mergeCell ref="U22:V22"/>
    <mergeCell ref="N33:P33"/>
    <mergeCell ref="W22:X22"/>
    <mergeCell ref="Y22:Z22"/>
    <mergeCell ref="S23:T23"/>
    <mergeCell ref="U23:V23"/>
    <mergeCell ref="W23:X23"/>
    <mergeCell ref="Y23:Z23"/>
    <mergeCell ref="S25:T25"/>
    <mergeCell ref="U25:V25"/>
    <mergeCell ref="W25:X25"/>
    <mergeCell ref="A44:XFD44"/>
    <mergeCell ref="Q3:Q43"/>
    <mergeCell ref="R14:AD14"/>
    <mergeCell ref="AE1:AE43"/>
    <mergeCell ref="AA15:AD43"/>
    <mergeCell ref="R38:Z43"/>
    <mergeCell ref="R30:Z30"/>
    <mergeCell ref="R34:Z34"/>
    <mergeCell ref="J35:P35"/>
    <mergeCell ref="J36:P41"/>
    <mergeCell ref="S35:Z37"/>
    <mergeCell ref="R35:R37"/>
    <mergeCell ref="S31:Z33"/>
    <mergeCell ref="R31:R33"/>
    <mergeCell ref="N29:P29"/>
    <mergeCell ref="J29:M29"/>
    <mergeCell ref="J28:P28"/>
    <mergeCell ref="J30:M30"/>
    <mergeCell ref="J31:M31"/>
    <mergeCell ref="J32:M32"/>
    <mergeCell ref="J33:M33"/>
    <mergeCell ref="N30:P30"/>
    <mergeCell ref="N31:P31"/>
    <mergeCell ref="N32:P32"/>
  </mergeCells>
  <hyperlinks>
    <hyperlink ref="A1:D1" location="'I-Tax Master'!A1" tooltip=" " display="Back To Main Menu"/>
  </hyperlinks>
  <pageMargins left="0.7" right="0.7" top="0.75" bottom="0.75" header="0.3" footer="0.3"/>
  <pageSetup paperSize="9" orientation="portrait" verticalDpi="0" r:id="rId1"/>
  <ignoredErrors>
    <ignoredError sqref="G1 U13:AD13 U29:V29 U8:V8 X8:Z8 U9:V9 X9:Z9 U10:V10 Y10:Z10 U11:V11 Y11:Z11 U12:V12 Y12:Z12 AB8:AD8 AB9:AD9 AC10:AD10 AC11:AD11 AC12:AD12 U20:V20 X20:Z20 U21:V21 Y21:Z21 U22:V22 Y22:Z22 U23:V23 Y23:Z23 U24:V24 Y24:Z24 U25:V25 Y25:Z25 U26:V26 Y26:Z26 U27:V27 Y27:Z27 U28:V28 Y28:Z28 Y29:Z29" unlockedFormula="1"/>
  </ignoredErrors>
</worksheet>
</file>

<file path=xl/worksheets/sheet20.xml><?xml version="1.0" encoding="utf-8"?>
<worksheet xmlns="http://schemas.openxmlformats.org/spreadsheetml/2006/main" xmlns:r="http://schemas.openxmlformats.org/officeDocument/2006/relationships">
  <dimension ref="A1:AJ150"/>
  <sheetViews>
    <sheetView view="pageBreakPreview" topLeftCell="A12" zoomScaleSheetLayoutView="100" workbookViewId="0">
      <selection activeCell="L25" sqref="L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VIJAY KUMAR DENWAL</v>
      </c>
      <c r="T3" s="538"/>
      <c r="U3" s="538"/>
      <c r="V3" s="538"/>
      <c r="W3" s="949" t="str">
        <f>P4</f>
        <v>UDC</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'Emp.-Detail'!B24</f>
        <v>VIJAY KUMAR DENWAL</v>
      </c>
      <c r="E4" s="949"/>
      <c r="F4" s="949"/>
      <c r="G4" s="949"/>
      <c r="H4" s="949"/>
      <c r="I4" s="854"/>
      <c r="J4" s="1185">
        <f>'Emp.-Detail'!A24</f>
        <v>16</v>
      </c>
      <c r="K4" s="1186"/>
      <c r="L4" s="1187"/>
      <c r="M4" s="982" t="s">
        <v>8</v>
      </c>
      <c r="N4" s="833"/>
      <c r="O4" s="833"/>
      <c r="P4" s="949" t="str">
        <f>'Emp.-Detail'!C24</f>
        <v>UDC</v>
      </c>
      <c r="Q4" s="950"/>
      <c r="R4" s="50"/>
      <c r="S4" s="1250" t="str">
        <f>D5</f>
        <v>AKPPD4869B</v>
      </c>
      <c r="T4" s="538"/>
      <c r="U4" s="538"/>
      <c r="V4" s="538"/>
      <c r="W4" s="959" t="str">
        <f>'Emp.-Detail'!H24</f>
        <v>40750100009999</v>
      </c>
      <c r="X4" s="949"/>
      <c r="Y4" s="949"/>
      <c r="Z4" s="949"/>
      <c r="AA4" s="949" t="str">
        <f>'Emp.-Detail'!I24</f>
        <v>BRKGB, Sujangarh</v>
      </c>
      <c r="AB4" s="949"/>
      <c r="AC4" s="949"/>
      <c r="AD4" s="949"/>
      <c r="AE4" s="949"/>
      <c r="AF4" s="950"/>
      <c r="AG4" s="17"/>
    </row>
    <row r="5" spans="1:33" ht="19.5" customHeight="1" thickBot="1">
      <c r="A5" s="954" t="s">
        <v>135</v>
      </c>
      <c r="B5" s="833"/>
      <c r="C5" s="833"/>
      <c r="D5" s="949" t="str">
        <f>'Emp.-Detail'!D24</f>
        <v>AKPPD4869B</v>
      </c>
      <c r="E5" s="949"/>
      <c r="F5" s="949"/>
      <c r="G5" s="949"/>
      <c r="H5" s="949"/>
      <c r="I5" s="854"/>
      <c r="J5" s="1188"/>
      <c r="K5" s="1189"/>
      <c r="L5" s="1190"/>
      <c r="M5" s="982" t="s">
        <v>137</v>
      </c>
      <c r="N5" s="833"/>
      <c r="O5" s="833"/>
      <c r="P5" s="959">
        <f>'Emp.-Detail'!G24</f>
        <v>9414394961</v>
      </c>
      <c r="Q5" s="950"/>
      <c r="R5" s="50"/>
      <c r="S5" s="974" t="s">
        <v>203</v>
      </c>
      <c r="T5" s="975"/>
      <c r="U5" s="975"/>
      <c r="V5" s="975"/>
      <c r="W5" s="951">
        <f>SUM(Q9:Q20)</f>
        <v>497825</v>
      </c>
      <c r="X5" s="951"/>
      <c r="Y5" s="1248" t="s">
        <v>202</v>
      </c>
      <c r="Z5" s="1249"/>
      <c r="AA5" s="1088"/>
      <c r="AB5" s="951">
        <f>P46</f>
        <v>0</v>
      </c>
      <c r="AC5" s="949"/>
      <c r="AD5" s="941">
        <f>W5+AB5</f>
        <v>497825</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497825</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497825</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497825</v>
      </c>
      <c r="AE8" s="942"/>
      <c r="AF8" s="943"/>
      <c r="AG8" s="17"/>
    </row>
    <row r="9" spans="1:33" ht="19.5" customHeight="1">
      <c r="A9" s="285">
        <v>1</v>
      </c>
      <c r="B9" s="286">
        <v>42430</v>
      </c>
      <c r="C9" s="190">
        <f>'Emp.-Detail'!E24</f>
        <v>16320</v>
      </c>
      <c r="D9" s="190">
        <f>ROUND(C9*119%,0)</f>
        <v>19421</v>
      </c>
      <c r="E9" s="191">
        <f>ROUND((C9+D9)*10%,0)</f>
        <v>3574</v>
      </c>
      <c r="F9" s="190">
        <f>ROUND(C9*10%,0)</f>
        <v>1632</v>
      </c>
      <c r="G9" s="190">
        <v>0</v>
      </c>
      <c r="H9" s="190">
        <v>0</v>
      </c>
      <c r="I9" s="192">
        <f>ROUND(C9*6%,0)*3</f>
        <v>2937</v>
      </c>
      <c r="J9" s="190">
        <v>0</v>
      </c>
      <c r="K9" s="190">
        <f>ROUND((I9+J9)*10%,0)</f>
        <v>294</v>
      </c>
      <c r="L9" s="190">
        <v>18360</v>
      </c>
      <c r="M9" s="190">
        <v>0</v>
      </c>
      <c r="N9" s="190">
        <v>0</v>
      </c>
      <c r="O9" s="190">
        <v>0</v>
      </c>
      <c r="P9" s="193">
        <v>0</v>
      </c>
      <c r="Q9" s="290">
        <f>C9+D9+F9+G9+H9+I9+J9+L9+M9+N9+O9</f>
        <v>58670</v>
      </c>
      <c r="R9" s="282"/>
      <c r="S9" s="984" t="s">
        <v>144</v>
      </c>
      <c r="T9" s="985"/>
      <c r="U9" s="985"/>
      <c r="V9" s="985"/>
      <c r="W9" s="985"/>
      <c r="X9" s="985"/>
      <c r="Y9" s="985"/>
      <c r="Z9" s="971" t="s">
        <v>18</v>
      </c>
      <c r="AA9" s="971"/>
      <c r="AB9" s="967">
        <f>O49</f>
        <v>0</v>
      </c>
      <c r="AC9" s="968"/>
      <c r="AD9" s="977">
        <f>AD8+AB9</f>
        <v>497825</v>
      </c>
      <c r="AE9" s="978"/>
      <c r="AF9" s="979"/>
      <c r="AG9" s="17"/>
    </row>
    <row r="10" spans="1:33" ht="19.5" customHeight="1">
      <c r="A10" s="187">
        <v>2</v>
      </c>
      <c r="B10" s="286">
        <v>42461</v>
      </c>
      <c r="C10" s="192">
        <f>C9</f>
        <v>16320</v>
      </c>
      <c r="D10" s="190">
        <f>ROUND(C10*125%,0)</f>
        <v>20400</v>
      </c>
      <c r="E10" s="191">
        <f t="shared" ref="E10:E20" si="0">ROUND((C10+D10)*10%,0)</f>
        <v>3672</v>
      </c>
      <c r="F10" s="190">
        <f t="shared" ref="F10:F20" si="1">ROUND(C10*10%,0)</f>
        <v>1632</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38352</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16320</v>
      </c>
      <c r="D11" s="190">
        <f t="shared" ref="D11:D15" si="4">ROUND(C11*125%,0)</f>
        <v>20400</v>
      </c>
      <c r="E11" s="191">
        <f t="shared" si="0"/>
        <v>3672</v>
      </c>
      <c r="F11" s="190">
        <f t="shared" si="1"/>
        <v>1632</v>
      </c>
      <c r="G11" s="192">
        <f t="shared" ref="G11:H20" si="5">G10</f>
        <v>0</v>
      </c>
      <c r="H11" s="192">
        <f t="shared" si="5"/>
        <v>0</v>
      </c>
      <c r="I11" s="192">
        <v>0</v>
      </c>
      <c r="J11" s="190">
        <v>0</v>
      </c>
      <c r="K11" s="190">
        <f t="shared" si="2"/>
        <v>0</v>
      </c>
      <c r="L11" s="190">
        <v>0</v>
      </c>
      <c r="M11" s="190">
        <v>0</v>
      </c>
      <c r="N11" s="190">
        <v>0</v>
      </c>
      <c r="O11" s="190">
        <v>0</v>
      </c>
      <c r="P11" s="193">
        <v>0</v>
      </c>
      <c r="Q11" s="290">
        <f t="shared" si="3"/>
        <v>38352</v>
      </c>
      <c r="R11" s="50"/>
      <c r="S11" s="292" t="s">
        <v>146</v>
      </c>
      <c r="T11" s="958">
        <f>O50</f>
        <v>0</v>
      </c>
      <c r="U11" s="948"/>
      <c r="V11" s="980">
        <f>O51</f>
        <v>0</v>
      </c>
      <c r="W11" s="958"/>
      <c r="X11" s="948"/>
      <c r="Y11" s="980">
        <f>Q49</f>
        <v>0</v>
      </c>
      <c r="Z11" s="958"/>
      <c r="AA11" s="948"/>
      <c r="AB11" s="980">
        <f>T11+V11+Y11</f>
        <v>0</v>
      </c>
      <c r="AC11" s="948"/>
      <c r="AD11" s="941">
        <f>AD9-AB11</f>
        <v>497825</v>
      </c>
      <c r="AE11" s="942"/>
      <c r="AF11" s="943"/>
      <c r="AG11" s="17"/>
    </row>
    <row r="12" spans="1:33" ht="19.5" customHeight="1">
      <c r="A12" s="187">
        <v>4</v>
      </c>
      <c r="B12" s="286">
        <v>42522</v>
      </c>
      <c r="C12" s="192">
        <f>C11</f>
        <v>16320</v>
      </c>
      <c r="D12" s="190">
        <f t="shared" si="4"/>
        <v>20400</v>
      </c>
      <c r="E12" s="191">
        <f t="shared" si="0"/>
        <v>3672</v>
      </c>
      <c r="F12" s="190">
        <f t="shared" si="1"/>
        <v>1632</v>
      </c>
      <c r="G12" s="192">
        <f t="shared" si="5"/>
        <v>0</v>
      </c>
      <c r="H12" s="192">
        <f t="shared" si="5"/>
        <v>0</v>
      </c>
      <c r="I12" s="192">
        <v>0</v>
      </c>
      <c r="J12" s="190">
        <v>0</v>
      </c>
      <c r="K12" s="190">
        <f t="shared" si="2"/>
        <v>0</v>
      </c>
      <c r="L12" s="190">
        <v>0</v>
      </c>
      <c r="M12" s="190">
        <v>0</v>
      </c>
      <c r="N12" s="190">
        <v>0</v>
      </c>
      <c r="O12" s="190">
        <v>0</v>
      </c>
      <c r="P12" s="193">
        <v>0</v>
      </c>
      <c r="Q12" s="290">
        <f t="shared" si="3"/>
        <v>38352</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16810</v>
      </c>
      <c r="D13" s="190">
        <f t="shared" si="4"/>
        <v>21013</v>
      </c>
      <c r="E13" s="191">
        <f t="shared" si="0"/>
        <v>3782</v>
      </c>
      <c r="F13" s="190">
        <f t="shared" si="1"/>
        <v>1681</v>
      </c>
      <c r="G13" s="192">
        <f t="shared" si="5"/>
        <v>0</v>
      </c>
      <c r="H13" s="192">
        <f t="shared" si="5"/>
        <v>0</v>
      </c>
      <c r="I13" s="192">
        <v>0</v>
      </c>
      <c r="J13" s="190">
        <v>0</v>
      </c>
      <c r="K13" s="190">
        <f t="shared" si="2"/>
        <v>0</v>
      </c>
      <c r="L13" s="190">
        <v>0</v>
      </c>
      <c r="M13" s="190">
        <v>0</v>
      </c>
      <c r="N13" s="190">
        <v>0</v>
      </c>
      <c r="O13" s="190">
        <v>0</v>
      </c>
      <c r="P13" s="193">
        <v>0</v>
      </c>
      <c r="Q13" s="290">
        <f t="shared" si="3"/>
        <v>39504</v>
      </c>
      <c r="R13" s="70"/>
      <c r="S13" s="991">
        <f>O52</f>
        <v>0</v>
      </c>
      <c r="T13" s="948"/>
      <c r="U13" s="980">
        <f>O53</f>
        <v>0</v>
      </c>
      <c r="V13" s="948"/>
      <c r="W13" s="980">
        <f>O54</f>
        <v>0</v>
      </c>
      <c r="X13" s="948"/>
      <c r="Y13" s="980">
        <f>O55</f>
        <v>0</v>
      </c>
      <c r="Z13" s="958"/>
      <c r="AA13" s="958"/>
      <c r="AB13" s="951">
        <f>SUM(S13:AA13)</f>
        <v>0</v>
      </c>
      <c r="AC13" s="951"/>
      <c r="AD13" s="941">
        <f>AD11+AB13</f>
        <v>497825</v>
      </c>
      <c r="AE13" s="965"/>
      <c r="AF13" s="966"/>
      <c r="AG13" s="17"/>
    </row>
    <row r="14" spans="1:33" ht="19.5" customHeight="1">
      <c r="A14" s="187">
        <v>6</v>
      </c>
      <c r="B14" s="286">
        <v>42583</v>
      </c>
      <c r="C14" s="192">
        <f t="shared" ref="C14:C20" si="6">C13</f>
        <v>16810</v>
      </c>
      <c r="D14" s="190">
        <f>ROUND(C14*125%,0)</f>
        <v>21013</v>
      </c>
      <c r="E14" s="191">
        <f t="shared" si="0"/>
        <v>3782</v>
      </c>
      <c r="F14" s="190">
        <f t="shared" si="1"/>
        <v>1681</v>
      </c>
      <c r="G14" s="192">
        <f t="shared" si="5"/>
        <v>0</v>
      </c>
      <c r="H14" s="192">
        <f t="shared" si="5"/>
        <v>0</v>
      </c>
      <c r="I14" s="192">
        <v>0</v>
      </c>
      <c r="J14" s="192">
        <f>ROUND(C13*6%,0)*3</f>
        <v>3027</v>
      </c>
      <c r="K14" s="190">
        <f t="shared" si="2"/>
        <v>303</v>
      </c>
      <c r="L14" s="190">
        <v>0</v>
      </c>
      <c r="M14" s="190">
        <v>0</v>
      </c>
      <c r="N14" s="190">
        <v>0</v>
      </c>
      <c r="O14" s="190">
        <v>0</v>
      </c>
      <c r="P14" s="193">
        <v>0</v>
      </c>
      <c r="Q14" s="290">
        <f t="shared" si="3"/>
        <v>42531</v>
      </c>
      <c r="R14" s="50"/>
      <c r="S14" s="954" t="s">
        <v>19</v>
      </c>
      <c r="T14" s="833"/>
      <c r="U14" s="833"/>
      <c r="V14" s="833"/>
      <c r="W14" s="833"/>
      <c r="X14" s="833"/>
      <c r="Y14" s="833"/>
      <c r="Z14" s="833"/>
      <c r="AA14" s="951">
        <f>I55</f>
        <v>0</v>
      </c>
      <c r="AB14" s="951"/>
      <c r="AC14" s="951"/>
      <c r="AD14" s="941">
        <f>AD13+AA14</f>
        <v>497825</v>
      </c>
      <c r="AE14" s="942"/>
      <c r="AF14" s="943"/>
      <c r="AG14" s="17"/>
    </row>
    <row r="15" spans="1:33" ht="19.5" customHeight="1">
      <c r="A15" s="187">
        <v>7</v>
      </c>
      <c r="B15" s="286">
        <v>42614</v>
      </c>
      <c r="C15" s="192">
        <f t="shared" si="6"/>
        <v>16810</v>
      </c>
      <c r="D15" s="190">
        <f t="shared" si="4"/>
        <v>21013</v>
      </c>
      <c r="E15" s="191">
        <f t="shared" si="0"/>
        <v>3782</v>
      </c>
      <c r="F15" s="190">
        <f t="shared" si="1"/>
        <v>1681</v>
      </c>
      <c r="G15" s="192">
        <f t="shared" si="5"/>
        <v>0</v>
      </c>
      <c r="H15" s="192">
        <f t="shared" si="5"/>
        <v>0</v>
      </c>
      <c r="I15" s="192">
        <v>0</v>
      </c>
      <c r="J15" s="192">
        <v>0</v>
      </c>
      <c r="K15" s="190">
        <f t="shared" si="2"/>
        <v>0</v>
      </c>
      <c r="L15" s="190">
        <v>0</v>
      </c>
      <c r="M15" s="190">
        <v>0</v>
      </c>
      <c r="N15" s="190">
        <v>0</v>
      </c>
      <c r="O15" s="190">
        <v>0</v>
      </c>
      <c r="P15" s="193">
        <v>0</v>
      </c>
      <c r="Q15" s="290">
        <f t="shared" si="3"/>
        <v>39504</v>
      </c>
      <c r="R15" s="50"/>
      <c r="S15" s="992" t="s">
        <v>20</v>
      </c>
      <c r="T15" s="993"/>
      <c r="U15" s="993"/>
      <c r="V15" s="993"/>
      <c r="W15" s="993"/>
      <c r="X15" s="993"/>
      <c r="Y15" s="993"/>
      <c r="Z15" s="993"/>
      <c r="AA15" s="993"/>
      <c r="AB15" s="993"/>
      <c r="AC15" s="993"/>
      <c r="AD15" s="941">
        <f>AD14</f>
        <v>497825</v>
      </c>
      <c r="AE15" s="942"/>
      <c r="AF15" s="943"/>
      <c r="AG15" s="17"/>
    </row>
    <row r="16" spans="1:33" ht="19.5" customHeight="1">
      <c r="A16" s="187">
        <v>8</v>
      </c>
      <c r="B16" s="286">
        <v>42644</v>
      </c>
      <c r="C16" s="192">
        <f t="shared" si="6"/>
        <v>16810</v>
      </c>
      <c r="D16" s="190">
        <f>ROUND(C16*131%,0)</f>
        <v>22021</v>
      </c>
      <c r="E16" s="191">
        <f t="shared" si="0"/>
        <v>3883</v>
      </c>
      <c r="F16" s="190">
        <f t="shared" si="1"/>
        <v>1681</v>
      </c>
      <c r="G16" s="192">
        <f t="shared" si="5"/>
        <v>0</v>
      </c>
      <c r="H16" s="192">
        <f t="shared" si="5"/>
        <v>0</v>
      </c>
      <c r="I16" s="192">
        <v>0</v>
      </c>
      <c r="J16" s="192">
        <v>0</v>
      </c>
      <c r="K16" s="190">
        <f t="shared" si="2"/>
        <v>0</v>
      </c>
      <c r="L16" s="190">
        <v>0</v>
      </c>
      <c r="M16" s="190">
        <v>0</v>
      </c>
      <c r="N16" s="190">
        <v>0</v>
      </c>
      <c r="O16" s="190">
        <v>0</v>
      </c>
      <c r="P16" s="193">
        <v>0</v>
      </c>
      <c r="Q16" s="290">
        <f t="shared" si="3"/>
        <v>40512</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16810</v>
      </c>
      <c r="D17" s="190">
        <f>ROUND(C17*131%,0)</f>
        <v>22021</v>
      </c>
      <c r="E17" s="191">
        <f t="shared" si="0"/>
        <v>3883</v>
      </c>
      <c r="F17" s="190">
        <f t="shared" si="1"/>
        <v>1681</v>
      </c>
      <c r="G17" s="192">
        <f t="shared" si="5"/>
        <v>0</v>
      </c>
      <c r="H17" s="192">
        <f t="shared" si="5"/>
        <v>0</v>
      </c>
      <c r="I17" s="192">
        <v>0</v>
      </c>
      <c r="J17" s="192">
        <v>0</v>
      </c>
      <c r="K17" s="190">
        <f t="shared" si="2"/>
        <v>0</v>
      </c>
      <c r="L17" s="190">
        <v>0</v>
      </c>
      <c r="M17" s="190">
        <v>0</v>
      </c>
      <c r="N17" s="190">
        <v>0</v>
      </c>
      <c r="O17" s="190">
        <v>0</v>
      </c>
      <c r="P17" s="193">
        <v>0</v>
      </c>
      <c r="Q17" s="290">
        <f t="shared" si="3"/>
        <v>40512</v>
      </c>
      <c r="R17" s="50"/>
      <c r="S17" s="954" t="s">
        <v>157</v>
      </c>
      <c r="T17" s="833"/>
      <c r="U17" s="833"/>
      <c r="V17" s="951">
        <f>IF('Emp.-Detail'!F24="NO",F37,0)</f>
        <v>5964</v>
      </c>
      <c r="W17" s="951"/>
      <c r="X17" s="833" t="s">
        <v>167</v>
      </c>
      <c r="Y17" s="833"/>
      <c r="Z17" s="833"/>
      <c r="AA17" s="833"/>
      <c r="AB17" s="833"/>
      <c r="AC17" s="833"/>
      <c r="AD17" s="831">
        <f>F45</f>
        <v>0</v>
      </c>
      <c r="AE17" s="831"/>
      <c r="AF17" s="955"/>
      <c r="AG17" s="17"/>
    </row>
    <row r="18" spans="1:34" ht="19.5" customHeight="1">
      <c r="A18" s="187">
        <v>10</v>
      </c>
      <c r="B18" s="286">
        <v>42705</v>
      </c>
      <c r="C18" s="192">
        <f t="shared" si="6"/>
        <v>16810</v>
      </c>
      <c r="D18" s="190">
        <f>ROUND(C18*131%,0)</f>
        <v>22021</v>
      </c>
      <c r="E18" s="191">
        <f t="shared" si="0"/>
        <v>3883</v>
      </c>
      <c r="F18" s="190">
        <f t="shared" si="1"/>
        <v>1681</v>
      </c>
      <c r="G18" s="192">
        <f t="shared" si="5"/>
        <v>0</v>
      </c>
      <c r="H18" s="192">
        <f t="shared" si="5"/>
        <v>0</v>
      </c>
      <c r="I18" s="192">
        <v>0</v>
      </c>
      <c r="J18" s="192">
        <v>0</v>
      </c>
      <c r="K18" s="190">
        <f t="shared" si="2"/>
        <v>0</v>
      </c>
      <c r="L18" s="190">
        <v>0</v>
      </c>
      <c r="M18" s="190">
        <v>0</v>
      </c>
      <c r="N18" s="190">
        <v>0</v>
      </c>
      <c r="O18" s="190">
        <v>0</v>
      </c>
      <c r="P18" s="193">
        <v>0</v>
      </c>
      <c r="Q18" s="290">
        <f t="shared" si="3"/>
        <v>40512</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16810</v>
      </c>
      <c r="D19" s="190">
        <f>ROUND(C19*131%,0)</f>
        <v>22021</v>
      </c>
      <c r="E19" s="191">
        <f t="shared" si="0"/>
        <v>3883</v>
      </c>
      <c r="F19" s="190">
        <f t="shared" si="1"/>
        <v>1681</v>
      </c>
      <c r="G19" s="192">
        <f t="shared" si="5"/>
        <v>0</v>
      </c>
      <c r="H19" s="192">
        <f t="shared" si="5"/>
        <v>0</v>
      </c>
      <c r="I19" s="192">
        <v>0</v>
      </c>
      <c r="J19" s="192">
        <v>0</v>
      </c>
      <c r="K19" s="190">
        <f t="shared" si="2"/>
        <v>0</v>
      </c>
      <c r="L19" s="190">
        <v>0</v>
      </c>
      <c r="M19" s="190">
        <v>0</v>
      </c>
      <c r="N19" s="190">
        <v>0</v>
      </c>
      <c r="O19" s="190">
        <v>0</v>
      </c>
      <c r="P19" s="193">
        <v>0</v>
      </c>
      <c r="Q19" s="290">
        <f t="shared" si="3"/>
        <v>40512</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16810</v>
      </c>
      <c r="D20" s="190">
        <f>ROUND(C20*131%,0)</f>
        <v>22021</v>
      </c>
      <c r="E20" s="191">
        <f t="shared" si="0"/>
        <v>3883</v>
      </c>
      <c r="F20" s="190">
        <f t="shared" si="1"/>
        <v>1681</v>
      </c>
      <c r="G20" s="192">
        <f t="shared" si="5"/>
        <v>0</v>
      </c>
      <c r="H20" s="192">
        <f t="shared" si="5"/>
        <v>0</v>
      </c>
      <c r="I20" s="192">
        <v>0</v>
      </c>
      <c r="J20" s="192">
        <v>0</v>
      </c>
      <c r="K20" s="190">
        <f t="shared" si="2"/>
        <v>0</v>
      </c>
      <c r="L20" s="190">
        <v>0</v>
      </c>
      <c r="M20" s="190">
        <v>0</v>
      </c>
      <c r="N20" s="190">
        <v>0</v>
      </c>
      <c r="O20" s="190">
        <v>0</v>
      </c>
      <c r="P20" s="193">
        <v>0</v>
      </c>
      <c r="Q20" s="290">
        <f t="shared" si="3"/>
        <v>40512</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199760</v>
      </c>
      <c r="D21" s="287">
        <f>SUM(D9:D20)</f>
        <v>253765</v>
      </c>
      <c r="E21" s="288">
        <f>SUM(E9:E20)</f>
        <v>45351</v>
      </c>
      <c r="F21" s="287">
        <f>SUM(F9:F20)</f>
        <v>19976</v>
      </c>
      <c r="G21" s="287">
        <f t="shared" si="7"/>
        <v>0</v>
      </c>
      <c r="H21" s="287">
        <f>SUM(H9:H20)</f>
        <v>0</v>
      </c>
      <c r="I21" s="287">
        <f t="shared" si="7"/>
        <v>2937</v>
      </c>
      <c r="J21" s="287">
        <f t="shared" si="7"/>
        <v>3027</v>
      </c>
      <c r="K21" s="287">
        <f>SUM(K9:K20)</f>
        <v>597</v>
      </c>
      <c r="L21" s="287">
        <f t="shared" si="7"/>
        <v>18360</v>
      </c>
      <c r="M21" s="287">
        <f t="shared" si="7"/>
        <v>0</v>
      </c>
      <c r="N21" s="287">
        <f t="shared" si="7"/>
        <v>0</v>
      </c>
      <c r="O21" s="287">
        <f>SUM(O9:O20)</f>
        <v>0</v>
      </c>
      <c r="P21" s="289">
        <f>SUM(P9:P20)</f>
        <v>0</v>
      </c>
      <c r="Q21" s="84">
        <f>SUM(Q9:Q20)</f>
        <v>497825</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IF('Emp.-Detail'!F24="yes",E9)+IF('Emp.-Detail'!F24="NO",0)</f>
        <v>0</v>
      </c>
      <c r="D25" s="192">
        <f>IF('Emp.-Detail'!F24="YES",K9)+IF('Emp.-Detail'!F24="NO",I9,0)</f>
        <v>2937</v>
      </c>
      <c r="E25" s="195"/>
      <c r="F25" s="287">
        <f>SUM(C25:D25)</f>
        <v>2937</v>
      </c>
      <c r="G25" s="192">
        <v>0</v>
      </c>
      <c r="H25" s="194">
        <v>0</v>
      </c>
      <c r="I25" s="192">
        <v>3000</v>
      </c>
      <c r="J25" s="195">
        <v>0</v>
      </c>
      <c r="K25" s="195"/>
      <c r="L25" s="195">
        <v>0</v>
      </c>
      <c r="M25" s="196">
        <v>595</v>
      </c>
      <c r="N25" s="196">
        <v>0</v>
      </c>
      <c r="O25" s="196">
        <v>1500</v>
      </c>
      <c r="P25" s="192">
        <v>0</v>
      </c>
      <c r="Q25" s="297">
        <f>SUM(F25:P25)</f>
        <v>8032</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IF('Emp.-Detail'!F24="yes",E10)+IF('Emp.-Detail'!F24="NO",0)</f>
        <v>0</v>
      </c>
      <c r="D26" s="192">
        <f>IF('Emp.-Detail'!F24="YES",K10)+IF('Emp.-Detail'!F24="NO",I10,0)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1500</v>
      </c>
      <c r="P26" s="194">
        <f>'Emp.-Detail'!AB9+'Emp.-Detail'!AB9*14.5%</f>
        <v>251.9</v>
      </c>
      <c r="Q26" s="297">
        <f t="shared" ref="Q26:Q36" si="11">SUM(F26:P26)</f>
        <v>5346.9</v>
      </c>
      <c r="R26" s="50"/>
      <c r="S26" s="1089" t="s">
        <v>279</v>
      </c>
      <c r="T26" s="1090"/>
      <c r="U26" s="1090"/>
      <c r="V26" s="1090"/>
      <c r="W26" s="1090"/>
      <c r="X26" s="1090"/>
      <c r="Y26" s="1090"/>
      <c r="Z26" s="1090"/>
      <c r="AA26" s="1091"/>
      <c r="AB26" s="942">
        <f>SUM(V17:V25)+SUM(AD17:AD25)</f>
        <v>42184</v>
      </c>
      <c r="AC26" s="957"/>
      <c r="AD26" s="1135">
        <f>IF(AB26&lt;=150000,AB26,150000)+AD25</f>
        <v>42184</v>
      </c>
      <c r="AE26" s="1136"/>
      <c r="AF26" s="1137"/>
      <c r="AG26" s="17"/>
    </row>
    <row r="27" spans="1:34" ht="19.5" customHeight="1">
      <c r="A27" s="187">
        <v>3</v>
      </c>
      <c r="B27" s="296">
        <f t="shared" si="8"/>
        <v>42491</v>
      </c>
      <c r="C27" s="192">
        <f>IF('Emp.-Detail'!F24="yes",E11)+IF('Emp.-Detail'!F24="NO",0)</f>
        <v>0</v>
      </c>
      <c r="D27" s="192">
        <f>IF('Emp.-Detail'!F24="YES",K11)+IF('Emp.-Detail'!F24="NO",I11,0)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1500</v>
      </c>
      <c r="P27" s="192">
        <v>0</v>
      </c>
      <c r="Q27" s="297">
        <f t="shared" si="11"/>
        <v>5095</v>
      </c>
      <c r="R27" s="50"/>
      <c r="S27" s="1085" t="s">
        <v>592</v>
      </c>
      <c r="T27" s="1086"/>
      <c r="U27" s="1086"/>
      <c r="V27" s="1086"/>
      <c r="W27" s="1086"/>
      <c r="X27" s="1086"/>
      <c r="Y27" s="1086"/>
      <c r="Z27" s="1086"/>
      <c r="AA27" s="1086"/>
      <c r="AB27" s="1087">
        <f>AB5</f>
        <v>0</v>
      </c>
      <c r="AC27" s="1088"/>
      <c r="AD27" s="831">
        <f>AD15-(AD26+AB5)</f>
        <v>455641</v>
      </c>
      <c r="AE27" s="831"/>
      <c r="AF27" s="955"/>
      <c r="AG27" s="17"/>
    </row>
    <row r="28" spans="1:34" ht="19.5" customHeight="1">
      <c r="A28" s="187">
        <v>4</v>
      </c>
      <c r="B28" s="296">
        <f t="shared" si="8"/>
        <v>42522</v>
      </c>
      <c r="C28" s="192">
        <f>IF('Emp.-Detail'!F24="yes",E12)+IF('Emp.-Detail'!F24="NO",0)</f>
        <v>0</v>
      </c>
      <c r="D28" s="192">
        <f>IF('Emp.-Detail'!F24="YES",K12)+IF('Emp.-Detail'!F24="NO",I12,0)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1500</v>
      </c>
      <c r="P28" s="192">
        <v>0</v>
      </c>
      <c r="Q28" s="297">
        <f t="shared" si="11"/>
        <v>5095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IF('Emp.-Detail'!F24="yes",E13)+IF('Emp.-Detail'!F24="NO",0)</f>
        <v>0</v>
      </c>
      <c r="D29" s="192">
        <f>IF('Emp.-Detail'!F24="YES",K13)+IF('Emp.-Detail'!F24="NO",I13,0)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1500</v>
      </c>
      <c r="P29" s="192">
        <v>0</v>
      </c>
      <c r="Q29" s="297">
        <f t="shared" si="11"/>
        <v>5095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IF('Emp.-Detail'!F24="yes",E14)+IF('Emp.-Detail'!F24="NO",0)</f>
        <v>0</v>
      </c>
      <c r="D30" s="192">
        <f>IF('Emp.-Detail'!F24="YES",K14)+IF('Emp.-Detail'!F24="NO",J14,0)</f>
        <v>3027</v>
      </c>
      <c r="E30" s="195"/>
      <c r="F30" s="287">
        <f t="shared" si="9"/>
        <v>3027</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1500</v>
      </c>
      <c r="P30" s="192">
        <v>0</v>
      </c>
      <c r="Q30" s="297">
        <f t="shared" si="11"/>
        <v>8122</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IF('Emp.-Detail'!F24="yes",E15)+IF('Emp.-Detail'!F24="NO",0)</f>
        <v>0</v>
      </c>
      <c r="D31" s="192">
        <f>IF('Emp.-Detail'!F24="YES",K15)+IF('Emp.-Detail'!F24="NO",J15,0)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1500</v>
      </c>
      <c r="P31" s="192">
        <v>0</v>
      </c>
      <c r="Q31" s="297">
        <f t="shared" si="11"/>
        <v>5095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IF('Emp.-Detail'!F24="yes",E16)+IF('Emp.-Detail'!F24="NO",0)</f>
        <v>0</v>
      </c>
      <c r="D32" s="192">
        <f>IF('Emp.-Detail'!F24="YES",K16)+IF('Emp.-Detail'!F24="NO",J16,0)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1500</v>
      </c>
      <c r="P32" s="192">
        <v>0</v>
      </c>
      <c r="Q32" s="297">
        <f t="shared" si="11"/>
        <v>5095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IF('Emp.-Detail'!F24="yes",E17)+IF('Emp.-Detail'!F24="NO",0)</f>
        <v>0</v>
      </c>
      <c r="D33" s="192">
        <f>IF('Emp.-Detail'!F24="YES",K17)+IF('Emp.-Detail'!F24="NO",J17,0)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1500</v>
      </c>
      <c r="P33" s="192">
        <v>0</v>
      </c>
      <c r="Q33" s="297">
        <f t="shared" si="11"/>
        <v>5095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IF('Emp.-Detail'!F24="yes",E18)+IF('Emp.-Detail'!F24="NO",0)</f>
        <v>0</v>
      </c>
      <c r="D34" s="192">
        <f>IF('Emp.-Detail'!F24="YES",K18)+IF('Emp.-Detail'!F24="NO",J18,0)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1500</v>
      </c>
      <c r="P34" s="192">
        <v>0</v>
      </c>
      <c r="Q34" s="297">
        <f t="shared" si="11"/>
        <v>5095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IF('Emp.-Detail'!F24="yes",E19)+IF('Emp.-Detail'!F24="NO",0)</f>
        <v>0</v>
      </c>
      <c r="D35" s="192">
        <f>IF('Emp.-Detail'!F24="YES",K19)+IF('Emp.-Detail'!F24="NO",J19,0)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1500</v>
      </c>
      <c r="P35" s="192">
        <v>0</v>
      </c>
      <c r="Q35" s="297">
        <f t="shared" si="11"/>
        <v>5095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IF('Emp.-Detail'!F24="yes",E20)+IF('Emp.-Detail'!F24="NO",0)</f>
        <v>0</v>
      </c>
      <c r="D36" s="192">
        <f>IF('Emp.-Detail'!F24="YES",K20)+IF('Emp.-Detail'!F24="NO",J20,0)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1500</v>
      </c>
      <c r="P36" s="192">
        <v>0</v>
      </c>
      <c r="Q36" s="297">
        <f t="shared" si="11"/>
        <v>5095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5964</v>
      </c>
      <c r="E37" s="306"/>
      <c r="F37" s="307">
        <f t="shared" si="9"/>
        <v>5964</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18000</v>
      </c>
      <c r="P37" s="288">
        <f t="shared" si="12"/>
        <v>251.9</v>
      </c>
      <c r="Q37" s="305">
        <f t="shared" si="12"/>
        <v>67355.899999999994</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497825</v>
      </c>
      <c r="D38" s="860"/>
      <c r="E38" s="309"/>
      <c r="F38" s="310"/>
      <c r="G38" s="1001" t="s">
        <v>13</v>
      </c>
      <c r="H38" s="1001"/>
      <c r="I38" s="1001"/>
      <c r="J38" s="860">
        <f>Q37</f>
        <v>67355.899999999994</v>
      </c>
      <c r="K38" s="860"/>
      <c r="L38" s="860"/>
      <c r="M38" s="310"/>
      <c r="N38" s="998" t="s">
        <v>15</v>
      </c>
      <c r="O38" s="998"/>
      <c r="P38" s="860">
        <f>Q21-Q37</f>
        <v>430469.1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455641</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455640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20564</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15564</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311</v>
      </c>
      <c r="V43" s="949"/>
      <c r="W43" s="949"/>
      <c r="X43" s="1067" t="s">
        <v>84</v>
      </c>
      <c r="Y43" s="1067"/>
      <c r="Z43" s="1067"/>
      <c r="AA43" s="953">
        <f>ROUND((AD42*1%),0)</f>
        <v>156</v>
      </c>
      <c r="AB43" s="953"/>
      <c r="AC43" s="953"/>
      <c r="AD43" s="951">
        <f>U43+AA43</f>
        <v>467</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16031</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IF('Emp.-Detail'!F24="NO",0,ROUND(E21+K21,0))</f>
        <v>0</v>
      </c>
      <c r="Q46" s="943"/>
      <c r="R46" s="22"/>
      <c r="S46" s="1071" t="s">
        <v>87</v>
      </c>
      <c r="T46" s="1072"/>
      <c r="U46" s="1072"/>
      <c r="V46" s="1072"/>
      <c r="W46" s="1072"/>
      <c r="X46" s="1072"/>
      <c r="Y46" s="1072"/>
      <c r="Z46" s="1072"/>
      <c r="AA46" s="1072"/>
      <c r="AB46" s="1072"/>
      <c r="AC46" s="1072"/>
      <c r="AD46" s="796">
        <f>AD44-AD45</f>
        <v>16031</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4500</v>
      </c>
      <c r="T49" s="1081"/>
      <c r="U49" s="1081"/>
      <c r="V49" s="1070">
        <f>SUM(O28:O30)</f>
        <v>4500</v>
      </c>
      <c r="W49" s="1070"/>
      <c r="X49" s="1070"/>
      <c r="Y49" s="1070">
        <f>SUM(O31:O33)</f>
        <v>4500</v>
      </c>
      <c r="Z49" s="1070"/>
      <c r="AA49" s="1070"/>
      <c r="AB49" s="951">
        <f>SUM(O34:O36)</f>
        <v>4500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18000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t="str">
        <f>IF(AD46&gt;AD50,AD46-AD50,"0")</f>
        <v>0</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f>IF(AD50&gt;AD46,AD46-AD50,"0")</f>
        <v>-1969</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VIJAY KUMAR DENWAL</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497825</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497825</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497825</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VIJAY KUMAR DENWAL</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AKPPD4869B</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9414394961</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497825</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'Emp.-Detail'!O24</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5964</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135374</v>
      </c>
      <c r="K69" s="788"/>
      <c r="L69" s="788"/>
      <c r="M69" s="776"/>
      <c r="N69" s="775">
        <f>SUM(O25:O27)</f>
        <v>4500</v>
      </c>
      <c r="O69" s="776"/>
      <c r="P69" s="775">
        <f>N69</f>
        <v>4500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120387</v>
      </c>
      <c r="K70" s="788"/>
      <c r="L70" s="788"/>
      <c r="M70" s="776"/>
      <c r="N70" s="775">
        <f>SUM(O28:O30)</f>
        <v>4500</v>
      </c>
      <c r="O70" s="776"/>
      <c r="P70" s="775">
        <f>N70</f>
        <v>4500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120528</v>
      </c>
      <c r="K71" s="788"/>
      <c r="L71" s="788"/>
      <c r="M71" s="776"/>
      <c r="N71" s="775">
        <f>SUM(O31:O33)</f>
        <v>4500</v>
      </c>
      <c r="O71" s="776"/>
      <c r="P71" s="775">
        <f t="shared" ref="P71:P72" si="13">N71</f>
        <v>4500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121536</v>
      </c>
      <c r="K72" s="788"/>
      <c r="L72" s="788"/>
      <c r="M72" s="776"/>
      <c r="N72" s="775">
        <f>SUM(O34:O36)</f>
        <v>4500</v>
      </c>
      <c r="O72" s="776"/>
      <c r="P72" s="775">
        <f t="shared" si="13"/>
        <v>4500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497825</v>
      </c>
      <c r="K73" s="808"/>
      <c r="L73" s="808"/>
      <c r="M73" s="809"/>
      <c r="N73" s="845">
        <f>SUM(N69:N72)</f>
        <v>18000</v>
      </c>
      <c r="O73" s="809"/>
      <c r="P73" s="845">
        <f>SUM(P69:P72)</f>
        <v>18000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1500</v>
      </c>
      <c r="E76" s="219"/>
      <c r="F76" s="219">
        <f>O26</f>
        <v>1500</v>
      </c>
      <c r="G76" s="219">
        <f>O27</f>
        <v>1500</v>
      </c>
      <c r="H76" s="219">
        <f>O28</f>
        <v>1500</v>
      </c>
      <c r="I76" s="219">
        <f>O29</f>
        <v>1500</v>
      </c>
      <c r="J76" s="219">
        <f>O30</f>
        <v>1500</v>
      </c>
      <c r="K76" s="219"/>
      <c r="L76" s="219">
        <f>O31</f>
        <v>1500</v>
      </c>
      <c r="M76" s="219">
        <f>O32</f>
        <v>1500</v>
      </c>
      <c r="N76" s="219">
        <f>O33</f>
        <v>1500</v>
      </c>
      <c r="O76" s="219">
        <f>O34</f>
        <v>1500</v>
      </c>
      <c r="P76" s="219">
        <f>O35</f>
        <v>1500</v>
      </c>
      <c r="Q76" s="220">
        <f>O36</f>
        <v>1500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42184</v>
      </c>
      <c r="AC81" s="1113"/>
      <c r="AD81" s="773">
        <f>AD26</f>
        <v>42184</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'Emp.-Detail'!N24</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'Emp.-Detail'!N24</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'Emp.-Detail'!N24</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'Emp.-Detail'!J24</f>
        <v>0</v>
      </c>
      <c r="C87" s="788"/>
      <c r="D87" s="776"/>
      <c r="E87" s="257"/>
      <c r="F87" s="1233" t="str">
        <f>'Emp.-Detail'!K24</f>
        <v>0</v>
      </c>
      <c r="G87" s="791"/>
      <c r="H87" s="791"/>
      <c r="I87" s="792"/>
      <c r="J87" s="810" t="str">
        <f>'Emp.-Detail'!L24</f>
        <v>00/00/0000</v>
      </c>
      <c r="K87" s="811"/>
      <c r="L87" s="811"/>
      <c r="M87" s="812"/>
      <c r="N87" s="1233" t="str">
        <f>'Emp.-Detail'!M24</f>
        <v>00</v>
      </c>
      <c r="O87" s="792"/>
      <c r="P87" s="793" t="str">
        <f>'Emp.-Detail'!N24</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18000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EIGHTEEN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42184</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455640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15564</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467</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16031</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16031</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497825</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497825</v>
      </c>
      <c r="P104" s="776"/>
      <c r="Q104" s="258">
        <f>O104</f>
        <v>497825</v>
      </c>
      <c r="R104" s="235"/>
      <c r="S104" s="254"/>
      <c r="T104" s="229" t="str">
        <f>'DDO '!L10</f>
        <v>PRINCIPAL</v>
      </c>
      <c r="U104" s="229"/>
      <c r="V104" s="780" t="s">
        <v>51</v>
      </c>
      <c r="W104" s="780"/>
      <c r="X104" s="780"/>
      <c r="Y104" s="780"/>
      <c r="Z104" s="770">
        <f>AD100</f>
        <v>16031</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SIXTEEN Thousand   THIRTY  ONE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497825</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497825</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497825</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8"/>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21.xml><?xml version="1.0" encoding="utf-8"?>
<worksheet xmlns="http://schemas.openxmlformats.org/spreadsheetml/2006/main" xmlns:r="http://schemas.openxmlformats.org/officeDocument/2006/relationships">
  <dimension ref="A1:AJ150"/>
  <sheetViews>
    <sheetView view="pageBreakPreview" topLeftCell="A14" zoomScaleSheetLayoutView="100" workbookViewId="0">
      <selection activeCell="N26" sqref="N26"/>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DEEP CHAND PRAJAPAT</v>
      </c>
      <c r="T3" s="538"/>
      <c r="U3" s="538"/>
      <c r="V3" s="538"/>
      <c r="W3" s="949" t="str">
        <f>P4</f>
        <v>UDC</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'Emp.-Detail'!B25</f>
        <v>DEEP CHAND PRAJAPAT</v>
      </c>
      <c r="E4" s="949"/>
      <c r="F4" s="949"/>
      <c r="G4" s="949"/>
      <c r="H4" s="949"/>
      <c r="I4" s="854"/>
      <c r="J4" s="1185">
        <f>'Emp.-Detail'!A25</f>
        <v>17</v>
      </c>
      <c r="K4" s="1186"/>
      <c r="L4" s="1187"/>
      <c r="M4" s="982" t="s">
        <v>8</v>
      </c>
      <c r="N4" s="833"/>
      <c r="O4" s="833"/>
      <c r="P4" s="949" t="str">
        <f>'Emp.-Detail'!C25</f>
        <v>UDC</v>
      </c>
      <c r="Q4" s="950"/>
      <c r="R4" s="50"/>
      <c r="S4" s="1250" t="str">
        <f>D5</f>
        <v>BDRPP3136R</v>
      </c>
      <c r="T4" s="538"/>
      <c r="U4" s="538"/>
      <c r="V4" s="538"/>
      <c r="W4" s="959" t="str">
        <f>'Emp.-Detail'!H25</f>
        <v>40750100001532</v>
      </c>
      <c r="X4" s="949"/>
      <c r="Y4" s="949"/>
      <c r="Z4" s="949"/>
      <c r="AA4" s="949" t="str">
        <f>'Emp.-Detail'!I25</f>
        <v>BRKGB, Sujangarh</v>
      </c>
      <c r="AB4" s="949"/>
      <c r="AC4" s="949"/>
      <c r="AD4" s="949"/>
      <c r="AE4" s="949"/>
      <c r="AF4" s="950"/>
      <c r="AG4" s="17"/>
    </row>
    <row r="5" spans="1:33" ht="19.5" customHeight="1" thickBot="1">
      <c r="A5" s="954" t="s">
        <v>135</v>
      </c>
      <c r="B5" s="833"/>
      <c r="C5" s="833"/>
      <c r="D5" s="949" t="str">
        <f>'Emp.-Detail'!D25</f>
        <v>BDRPP3136R</v>
      </c>
      <c r="E5" s="949"/>
      <c r="F5" s="949"/>
      <c r="G5" s="949"/>
      <c r="H5" s="949"/>
      <c r="I5" s="854"/>
      <c r="J5" s="1188"/>
      <c r="K5" s="1189"/>
      <c r="L5" s="1190"/>
      <c r="M5" s="982" t="s">
        <v>137</v>
      </c>
      <c r="N5" s="833"/>
      <c r="O5" s="833"/>
      <c r="P5" s="959">
        <f>'Emp.-Detail'!G25</f>
        <v>9024708918</v>
      </c>
      <c r="Q5" s="950"/>
      <c r="R5" s="50"/>
      <c r="S5" s="974" t="s">
        <v>203</v>
      </c>
      <c r="T5" s="975"/>
      <c r="U5" s="975"/>
      <c r="V5" s="975"/>
      <c r="W5" s="951">
        <f>SUM(Q9:Q20)</f>
        <v>446922</v>
      </c>
      <c r="X5" s="951"/>
      <c r="Y5" s="1248" t="s">
        <v>202</v>
      </c>
      <c r="Z5" s="1249"/>
      <c r="AA5" s="1088"/>
      <c r="AB5" s="951">
        <f>P46</f>
        <v>0</v>
      </c>
      <c r="AC5" s="949"/>
      <c r="AD5" s="941">
        <f>W5+AB5</f>
        <v>446922</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446922</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446922</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446922</v>
      </c>
      <c r="AE8" s="942"/>
      <c r="AF8" s="943"/>
      <c r="AG8" s="17"/>
    </row>
    <row r="9" spans="1:33" ht="19.5" customHeight="1">
      <c r="A9" s="285">
        <v>1</v>
      </c>
      <c r="B9" s="286">
        <v>42430</v>
      </c>
      <c r="C9" s="190">
        <f>'Emp.-Detail'!E25</f>
        <v>15210</v>
      </c>
      <c r="D9" s="190">
        <f>ROUND(C9*119%,0)</f>
        <v>18100</v>
      </c>
      <c r="E9" s="191">
        <f>ROUND((C9+D9)*10%,0)</f>
        <v>3331</v>
      </c>
      <c r="F9" s="190">
        <f>ROUND(C9*10%,0)</f>
        <v>1521</v>
      </c>
      <c r="G9" s="190">
        <v>0</v>
      </c>
      <c r="H9" s="190">
        <v>0</v>
      </c>
      <c r="I9" s="192">
        <f>ROUND(C9*6%,0)*3</f>
        <v>2739</v>
      </c>
      <c r="J9" s="190">
        <v>0</v>
      </c>
      <c r="K9" s="190">
        <f>ROUND((I9+J9)*10%,0)</f>
        <v>274</v>
      </c>
      <c r="L9" s="190">
        <v>0</v>
      </c>
      <c r="M9" s="190">
        <v>0</v>
      </c>
      <c r="N9" s="190">
        <v>0</v>
      </c>
      <c r="O9" s="190">
        <v>0</v>
      </c>
      <c r="P9" s="193">
        <v>0</v>
      </c>
      <c r="Q9" s="290">
        <f>C9+D9+F9+G9+H9+I9+J9+L9+M9+N9+O9</f>
        <v>37570</v>
      </c>
      <c r="R9" s="282"/>
      <c r="S9" s="984" t="s">
        <v>144</v>
      </c>
      <c r="T9" s="985"/>
      <c r="U9" s="985"/>
      <c r="V9" s="985"/>
      <c r="W9" s="985"/>
      <c r="X9" s="985"/>
      <c r="Y9" s="985"/>
      <c r="Z9" s="971" t="s">
        <v>18</v>
      </c>
      <c r="AA9" s="971"/>
      <c r="AB9" s="967">
        <f>O49</f>
        <v>0</v>
      </c>
      <c r="AC9" s="968"/>
      <c r="AD9" s="977">
        <f>AD8+AB9</f>
        <v>446922</v>
      </c>
      <c r="AE9" s="978"/>
      <c r="AF9" s="979"/>
      <c r="AG9" s="17"/>
    </row>
    <row r="10" spans="1:33" ht="19.5" customHeight="1">
      <c r="A10" s="187">
        <v>2</v>
      </c>
      <c r="B10" s="286">
        <v>42461</v>
      </c>
      <c r="C10" s="192">
        <f>C9</f>
        <v>15210</v>
      </c>
      <c r="D10" s="190">
        <f>ROUND(C10*125%,0)</f>
        <v>19013</v>
      </c>
      <c r="E10" s="191">
        <f t="shared" ref="E10:E20" si="0">ROUND((C10+D10)*10%,0)</f>
        <v>3422</v>
      </c>
      <c r="F10" s="190">
        <f t="shared" ref="F10:F20" si="1">ROUND(C10*10%,0)</f>
        <v>1521</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35744</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15210</v>
      </c>
      <c r="D11" s="190">
        <f t="shared" ref="D11:D15" si="4">ROUND(C11*125%,0)</f>
        <v>19013</v>
      </c>
      <c r="E11" s="191">
        <f t="shared" si="0"/>
        <v>3422</v>
      </c>
      <c r="F11" s="190">
        <f t="shared" si="1"/>
        <v>1521</v>
      </c>
      <c r="G11" s="192">
        <f t="shared" ref="G11:H20" si="5">G10</f>
        <v>0</v>
      </c>
      <c r="H11" s="192">
        <f t="shared" si="5"/>
        <v>0</v>
      </c>
      <c r="I11" s="192">
        <v>0</v>
      </c>
      <c r="J11" s="190">
        <v>0</v>
      </c>
      <c r="K11" s="190">
        <f t="shared" si="2"/>
        <v>0</v>
      </c>
      <c r="L11" s="190">
        <v>0</v>
      </c>
      <c r="M11" s="190">
        <v>0</v>
      </c>
      <c r="N11" s="190">
        <v>0</v>
      </c>
      <c r="O11" s="190">
        <v>0</v>
      </c>
      <c r="P11" s="193">
        <v>0</v>
      </c>
      <c r="Q11" s="290">
        <f t="shared" si="3"/>
        <v>35744</v>
      </c>
      <c r="R11" s="50"/>
      <c r="S11" s="292" t="s">
        <v>146</v>
      </c>
      <c r="T11" s="958">
        <f>O50</f>
        <v>0</v>
      </c>
      <c r="U11" s="948"/>
      <c r="V11" s="980">
        <f>O51</f>
        <v>0</v>
      </c>
      <c r="W11" s="958"/>
      <c r="X11" s="948"/>
      <c r="Y11" s="980">
        <f>Q49</f>
        <v>0</v>
      </c>
      <c r="Z11" s="958"/>
      <c r="AA11" s="948"/>
      <c r="AB11" s="980">
        <f>T11+V11+Y11</f>
        <v>0</v>
      </c>
      <c r="AC11" s="948"/>
      <c r="AD11" s="941">
        <f>AD9-AB11</f>
        <v>446922</v>
      </c>
      <c r="AE11" s="942"/>
      <c r="AF11" s="943"/>
      <c r="AG11" s="17"/>
    </row>
    <row r="12" spans="1:33" ht="19.5" customHeight="1">
      <c r="A12" s="187">
        <v>4</v>
      </c>
      <c r="B12" s="286">
        <v>42522</v>
      </c>
      <c r="C12" s="192">
        <f>C11</f>
        <v>15210</v>
      </c>
      <c r="D12" s="190">
        <f t="shared" si="4"/>
        <v>19013</v>
      </c>
      <c r="E12" s="191">
        <f t="shared" si="0"/>
        <v>3422</v>
      </c>
      <c r="F12" s="190">
        <f t="shared" si="1"/>
        <v>1521</v>
      </c>
      <c r="G12" s="192">
        <f t="shared" si="5"/>
        <v>0</v>
      </c>
      <c r="H12" s="192">
        <f t="shared" si="5"/>
        <v>0</v>
      </c>
      <c r="I12" s="192">
        <v>0</v>
      </c>
      <c r="J12" s="190">
        <v>0</v>
      </c>
      <c r="K12" s="190">
        <f t="shared" si="2"/>
        <v>0</v>
      </c>
      <c r="L12" s="190">
        <v>0</v>
      </c>
      <c r="M12" s="190">
        <v>0</v>
      </c>
      <c r="N12" s="190">
        <v>0</v>
      </c>
      <c r="O12" s="190">
        <v>0</v>
      </c>
      <c r="P12" s="193">
        <v>0</v>
      </c>
      <c r="Q12" s="290">
        <f t="shared" si="3"/>
        <v>35744</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15670</v>
      </c>
      <c r="D13" s="190">
        <f t="shared" si="4"/>
        <v>19588</v>
      </c>
      <c r="E13" s="191">
        <f t="shared" si="0"/>
        <v>3526</v>
      </c>
      <c r="F13" s="190">
        <f t="shared" si="1"/>
        <v>1567</v>
      </c>
      <c r="G13" s="192">
        <f t="shared" si="5"/>
        <v>0</v>
      </c>
      <c r="H13" s="192">
        <f t="shared" si="5"/>
        <v>0</v>
      </c>
      <c r="I13" s="192">
        <v>0</v>
      </c>
      <c r="J13" s="190">
        <v>0</v>
      </c>
      <c r="K13" s="190">
        <f t="shared" si="2"/>
        <v>0</v>
      </c>
      <c r="L13" s="190">
        <v>0</v>
      </c>
      <c r="M13" s="190">
        <v>0</v>
      </c>
      <c r="N13" s="190">
        <v>0</v>
      </c>
      <c r="O13" s="190">
        <v>0</v>
      </c>
      <c r="P13" s="193">
        <v>0</v>
      </c>
      <c r="Q13" s="290">
        <f t="shared" si="3"/>
        <v>36825</v>
      </c>
      <c r="R13" s="70"/>
      <c r="S13" s="991">
        <f>O52</f>
        <v>0</v>
      </c>
      <c r="T13" s="948"/>
      <c r="U13" s="980">
        <f>O53</f>
        <v>0</v>
      </c>
      <c r="V13" s="948"/>
      <c r="W13" s="980">
        <f>O54</f>
        <v>0</v>
      </c>
      <c r="X13" s="948"/>
      <c r="Y13" s="980">
        <f>O55</f>
        <v>0</v>
      </c>
      <c r="Z13" s="958"/>
      <c r="AA13" s="958"/>
      <c r="AB13" s="951">
        <f>SUM(S13:AA13)</f>
        <v>0</v>
      </c>
      <c r="AC13" s="951"/>
      <c r="AD13" s="941">
        <f>AD11+AB13</f>
        <v>446922</v>
      </c>
      <c r="AE13" s="965"/>
      <c r="AF13" s="966"/>
      <c r="AG13" s="17"/>
    </row>
    <row r="14" spans="1:33" ht="19.5" customHeight="1">
      <c r="A14" s="187">
        <v>6</v>
      </c>
      <c r="B14" s="286">
        <v>42583</v>
      </c>
      <c r="C14" s="192">
        <f t="shared" ref="C14:C20" si="6">C13</f>
        <v>15670</v>
      </c>
      <c r="D14" s="190">
        <f>ROUND(C14*125%,0)</f>
        <v>19588</v>
      </c>
      <c r="E14" s="191">
        <f t="shared" si="0"/>
        <v>3526</v>
      </c>
      <c r="F14" s="190">
        <f t="shared" si="1"/>
        <v>1567</v>
      </c>
      <c r="G14" s="192">
        <f t="shared" si="5"/>
        <v>0</v>
      </c>
      <c r="H14" s="192">
        <f t="shared" si="5"/>
        <v>0</v>
      </c>
      <c r="I14" s="192">
        <v>0</v>
      </c>
      <c r="J14" s="192">
        <f>ROUND(C13*6%,0)*3</f>
        <v>2820</v>
      </c>
      <c r="K14" s="190">
        <f t="shared" si="2"/>
        <v>282</v>
      </c>
      <c r="L14" s="190">
        <v>0</v>
      </c>
      <c r="M14" s="190">
        <v>0</v>
      </c>
      <c r="N14" s="190">
        <v>0</v>
      </c>
      <c r="O14" s="190">
        <v>0</v>
      </c>
      <c r="P14" s="193">
        <v>0</v>
      </c>
      <c r="Q14" s="290">
        <f t="shared" si="3"/>
        <v>39645</v>
      </c>
      <c r="R14" s="50"/>
      <c r="S14" s="954" t="s">
        <v>19</v>
      </c>
      <c r="T14" s="833"/>
      <c r="U14" s="833"/>
      <c r="V14" s="833"/>
      <c r="W14" s="833"/>
      <c r="X14" s="833"/>
      <c r="Y14" s="833"/>
      <c r="Z14" s="833"/>
      <c r="AA14" s="951">
        <f>I55</f>
        <v>0</v>
      </c>
      <c r="AB14" s="951"/>
      <c r="AC14" s="951"/>
      <c r="AD14" s="941">
        <f>AD13+AA14</f>
        <v>446922</v>
      </c>
      <c r="AE14" s="942"/>
      <c r="AF14" s="943"/>
      <c r="AG14" s="17"/>
    </row>
    <row r="15" spans="1:33" ht="19.5" customHeight="1">
      <c r="A15" s="187">
        <v>7</v>
      </c>
      <c r="B15" s="286">
        <v>42614</v>
      </c>
      <c r="C15" s="192">
        <f t="shared" si="6"/>
        <v>15670</v>
      </c>
      <c r="D15" s="190">
        <f t="shared" si="4"/>
        <v>19588</v>
      </c>
      <c r="E15" s="191">
        <f t="shared" si="0"/>
        <v>3526</v>
      </c>
      <c r="F15" s="190">
        <f t="shared" si="1"/>
        <v>1567</v>
      </c>
      <c r="G15" s="192">
        <f t="shared" si="5"/>
        <v>0</v>
      </c>
      <c r="H15" s="192">
        <f t="shared" si="5"/>
        <v>0</v>
      </c>
      <c r="I15" s="192">
        <v>0</v>
      </c>
      <c r="J15" s="192">
        <v>0</v>
      </c>
      <c r="K15" s="190">
        <f t="shared" si="2"/>
        <v>0</v>
      </c>
      <c r="L15" s="190">
        <v>0</v>
      </c>
      <c r="M15" s="190">
        <v>0</v>
      </c>
      <c r="N15" s="190">
        <v>0</v>
      </c>
      <c r="O15" s="190">
        <v>0</v>
      </c>
      <c r="P15" s="193">
        <v>0</v>
      </c>
      <c r="Q15" s="290">
        <f t="shared" si="3"/>
        <v>36825</v>
      </c>
      <c r="R15" s="50"/>
      <c r="S15" s="992" t="s">
        <v>20</v>
      </c>
      <c r="T15" s="993"/>
      <c r="U15" s="993"/>
      <c r="V15" s="993"/>
      <c r="W15" s="993"/>
      <c r="X15" s="993"/>
      <c r="Y15" s="993"/>
      <c r="Z15" s="993"/>
      <c r="AA15" s="993"/>
      <c r="AB15" s="993"/>
      <c r="AC15" s="993"/>
      <c r="AD15" s="941">
        <f>AD14</f>
        <v>446922</v>
      </c>
      <c r="AE15" s="942"/>
      <c r="AF15" s="943"/>
      <c r="AG15" s="17"/>
    </row>
    <row r="16" spans="1:33" ht="19.5" customHeight="1">
      <c r="A16" s="187">
        <v>8</v>
      </c>
      <c r="B16" s="286">
        <v>42644</v>
      </c>
      <c r="C16" s="192">
        <f t="shared" si="6"/>
        <v>15670</v>
      </c>
      <c r="D16" s="190">
        <f>ROUND(C16*131%,0)</f>
        <v>20528</v>
      </c>
      <c r="E16" s="191">
        <f t="shared" si="0"/>
        <v>3620</v>
      </c>
      <c r="F16" s="190">
        <f t="shared" si="1"/>
        <v>1567</v>
      </c>
      <c r="G16" s="192">
        <f t="shared" si="5"/>
        <v>0</v>
      </c>
      <c r="H16" s="192">
        <f t="shared" si="5"/>
        <v>0</v>
      </c>
      <c r="I16" s="192">
        <v>0</v>
      </c>
      <c r="J16" s="192">
        <v>0</v>
      </c>
      <c r="K16" s="190">
        <f t="shared" si="2"/>
        <v>0</v>
      </c>
      <c r="L16" s="190">
        <v>0</v>
      </c>
      <c r="M16" s="190">
        <v>0</v>
      </c>
      <c r="N16" s="190">
        <v>0</v>
      </c>
      <c r="O16" s="190">
        <v>0</v>
      </c>
      <c r="P16" s="193">
        <v>0</v>
      </c>
      <c r="Q16" s="290">
        <f t="shared" si="3"/>
        <v>37765</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15670</v>
      </c>
      <c r="D17" s="190">
        <f>ROUND(C17*131%,0)</f>
        <v>20528</v>
      </c>
      <c r="E17" s="191">
        <f t="shared" si="0"/>
        <v>3620</v>
      </c>
      <c r="F17" s="190">
        <f t="shared" si="1"/>
        <v>1567</v>
      </c>
      <c r="G17" s="192">
        <f t="shared" si="5"/>
        <v>0</v>
      </c>
      <c r="H17" s="192">
        <f t="shared" si="5"/>
        <v>0</v>
      </c>
      <c r="I17" s="192">
        <v>0</v>
      </c>
      <c r="J17" s="192">
        <v>0</v>
      </c>
      <c r="K17" s="190">
        <f t="shared" si="2"/>
        <v>0</v>
      </c>
      <c r="L17" s="190">
        <v>0</v>
      </c>
      <c r="M17" s="190">
        <v>0</v>
      </c>
      <c r="N17" s="190">
        <v>0</v>
      </c>
      <c r="O17" s="190">
        <v>0</v>
      </c>
      <c r="P17" s="193">
        <v>0</v>
      </c>
      <c r="Q17" s="290">
        <f t="shared" si="3"/>
        <v>37765</v>
      </c>
      <c r="R17" s="50"/>
      <c r="S17" s="954" t="s">
        <v>157</v>
      </c>
      <c r="T17" s="833"/>
      <c r="U17" s="833"/>
      <c r="V17" s="951">
        <f>IF('Emp.-Detail'!F25="NO",F37,0)</f>
        <v>5559</v>
      </c>
      <c r="W17" s="951"/>
      <c r="X17" s="833" t="s">
        <v>167</v>
      </c>
      <c r="Y17" s="833"/>
      <c r="Z17" s="833"/>
      <c r="AA17" s="833"/>
      <c r="AB17" s="833"/>
      <c r="AC17" s="833"/>
      <c r="AD17" s="831">
        <f>F45</f>
        <v>0</v>
      </c>
      <c r="AE17" s="831"/>
      <c r="AF17" s="955"/>
      <c r="AG17" s="17"/>
    </row>
    <row r="18" spans="1:34" ht="19.5" customHeight="1">
      <c r="A18" s="187">
        <v>10</v>
      </c>
      <c r="B18" s="286">
        <v>42705</v>
      </c>
      <c r="C18" s="192">
        <f t="shared" si="6"/>
        <v>15670</v>
      </c>
      <c r="D18" s="190">
        <f>ROUND(C18*131%,0)</f>
        <v>20528</v>
      </c>
      <c r="E18" s="191">
        <f t="shared" si="0"/>
        <v>3620</v>
      </c>
      <c r="F18" s="190">
        <f t="shared" si="1"/>
        <v>1567</v>
      </c>
      <c r="G18" s="192">
        <f t="shared" si="5"/>
        <v>0</v>
      </c>
      <c r="H18" s="192">
        <f t="shared" si="5"/>
        <v>0</v>
      </c>
      <c r="I18" s="192">
        <v>0</v>
      </c>
      <c r="J18" s="192">
        <v>0</v>
      </c>
      <c r="K18" s="190">
        <f t="shared" si="2"/>
        <v>0</v>
      </c>
      <c r="L18" s="190">
        <v>0</v>
      </c>
      <c r="M18" s="190">
        <v>0</v>
      </c>
      <c r="N18" s="190">
        <v>0</v>
      </c>
      <c r="O18" s="190">
        <v>0</v>
      </c>
      <c r="P18" s="193">
        <v>0</v>
      </c>
      <c r="Q18" s="290">
        <f t="shared" si="3"/>
        <v>37765</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15670</v>
      </c>
      <c r="D19" s="190">
        <f>ROUND(C19*131%,0)</f>
        <v>20528</v>
      </c>
      <c r="E19" s="191">
        <f t="shared" si="0"/>
        <v>3620</v>
      </c>
      <c r="F19" s="190">
        <f t="shared" si="1"/>
        <v>1567</v>
      </c>
      <c r="G19" s="192">
        <f t="shared" si="5"/>
        <v>0</v>
      </c>
      <c r="H19" s="192">
        <f t="shared" si="5"/>
        <v>0</v>
      </c>
      <c r="I19" s="192">
        <v>0</v>
      </c>
      <c r="J19" s="192">
        <v>0</v>
      </c>
      <c r="K19" s="190">
        <f t="shared" si="2"/>
        <v>0</v>
      </c>
      <c r="L19" s="190">
        <v>0</v>
      </c>
      <c r="M19" s="190">
        <v>0</v>
      </c>
      <c r="N19" s="190">
        <v>0</v>
      </c>
      <c r="O19" s="190">
        <v>0</v>
      </c>
      <c r="P19" s="193">
        <v>0</v>
      </c>
      <c r="Q19" s="290">
        <f t="shared" si="3"/>
        <v>37765</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15670</v>
      </c>
      <c r="D20" s="190">
        <f>ROUND(C20*131%,0)</f>
        <v>20528</v>
      </c>
      <c r="E20" s="191">
        <f t="shared" si="0"/>
        <v>3620</v>
      </c>
      <c r="F20" s="190">
        <f t="shared" si="1"/>
        <v>1567</v>
      </c>
      <c r="G20" s="192">
        <f t="shared" si="5"/>
        <v>0</v>
      </c>
      <c r="H20" s="192">
        <f t="shared" si="5"/>
        <v>0</v>
      </c>
      <c r="I20" s="192">
        <v>0</v>
      </c>
      <c r="J20" s="192">
        <v>0</v>
      </c>
      <c r="K20" s="190">
        <f t="shared" si="2"/>
        <v>0</v>
      </c>
      <c r="L20" s="190">
        <v>0</v>
      </c>
      <c r="M20" s="190">
        <v>0</v>
      </c>
      <c r="N20" s="190">
        <v>0</v>
      </c>
      <c r="O20" s="190">
        <v>0</v>
      </c>
      <c r="P20" s="193">
        <v>0</v>
      </c>
      <c r="Q20" s="290">
        <f t="shared" si="3"/>
        <v>37765</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186200</v>
      </c>
      <c r="D21" s="287">
        <f>SUM(D9:D20)</f>
        <v>236543</v>
      </c>
      <c r="E21" s="288">
        <f>SUM(E9:E20)</f>
        <v>42275</v>
      </c>
      <c r="F21" s="287">
        <f>SUM(F9:F20)</f>
        <v>18620</v>
      </c>
      <c r="G21" s="287">
        <f t="shared" si="7"/>
        <v>0</v>
      </c>
      <c r="H21" s="287">
        <f>SUM(H9:H20)</f>
        <v>0</v>
      </c>
      <c r="I21" s="287">
        <f t="shared" si="7"/>
        <v>2739</v>
      </c>
      <c r="J21" s="287">
        <f t="shared" si="7"/>
        <v>2820</v>
      </c>
      <c r="K21" s="287">
        <f>SUM(K9:K20)</f>
        <v>556</v>
      </c>
      <c r="L21" s="287">
        <f t="shared" si="7"/>
        <v>0</v>
      </c>
      <c r="M21" s="287">
        <f t="shared" si="7"/>
        <v>0</v>
      </c>
      <c r="N21" s="287">
        <f t="shared" si="7"/>
        <v>0</v>
      </c>
      <c r="O21" s="287">
        <f>SUM(O9:O20)</f>
        <v>0</v>
      </c>
      <c r="P21" s="289">
        <f>SUM(P9:P20)</f>
        <v>0</v>
      </c>
      <c r="Q21" s="84">
        <f>SUM(Q9:Q20)</f>
        <v>446922</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IF('Emp.-Detail'!F25="yes",E9)+IF('Emp.-Detail'!F25="NO",0)</f>
        <v>0</v>
      </c>
      <c r="D25" s="192">
        <f>IF('Emp.-Detail'!F25="YES",K9)+IF('Emp.-Detail'!F25="NO",I9,0)</f>
        <v>2739</v>
      </c>
      <c r="E25" s="195"/>
      <c r="F25" s="287">
        <f>SUM(C25:D25)</f>
        <v>2739</v>
      </c>
      <c r="G25" s="192">
        <v>0</v>
      </c>
      <c r="H25" s="194">
        <v>0</v>
      </c>
      <c r="I25" s="192">
        <v>3000</v>
      </c>
      <c r="J25" s="195">
        <v>0</v>
      </c>
      <c r="K25" s="195"/>
      <c r="L25" s="195">
        <v>0</v>
      </c>
      <c r="M25" s="196">
        <v>595</v>
      </c>
      <c r="N25" s="196">
        <v>0</v>
      </c>
      <c r="O25" s="196">
        <v>0</v>
      </c>
      <c r="P25" s="192">
        <v>0</v>
      </c>
      <c r="Q25" s="297">
        <f>SUM(F25:P25)</f>
        <v>6334</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IF('Emp.-Detail'!F25="yes",E10)+IF('Emp.-Detail'!F25="NO",0)</f>
        <v>0</v>
      </c>
      <c r="D26" s="192">
        <f>IF('Emp.-Detail'!F25="YES",K10)+IF('Emp.-Detail'!F25="NO",I10,0)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0</v>
      </c>
      <c r="P26" s="194">
        <f>'Emp.-Detail'!AB9+'Emp.-Detail'!AB9*14.5%</f>
        <v>251.9</v>
      </c>
      <c r="Q26" s="297">
        <f t="shared" ref="Q26:Q36" si="11">SUM(F26:P26)</f>
        <v>3846.9</v>
      </c>
      <c r="R26" s="50"/>
      <c r="S26" s="1089" t="s">
        <v>279</v>
      </c>
      <c r="T26" s="1090"/>
      <c r="U26" s="1090"/>
      <c r="V26" s="1090"/>
      <c r="W26" s="1090"/>
      <c r="X26" s="1090"/>
      <c r="Y26" s="1090"/>
      <c r="Z26" s="1090"/>
      <c r="AA26" s="1091"/>
      <c r="AB26" s="942">
        <f>SUM(V17:V25)+SUM(AD17:AD25)</f>
        <v>41779</v>
      </c>
      <c r="AC26" s="957"/>
      <c r="AD26" s="1135">
        <f>IF(AB26&lt;=150000,AB26,150000)+AD25</f>
        <v>41779</v>
      </c>
      <c r="AE26" s="1136"/>
      <c r="AF26" s="1137"/>
      <c r="AG26" s="17"/>
    </row>
    <row r="27" spans="1:34" ht="19.5" customHeight="1">
      <c r="A27" s="187">
        <v>3</v>
      </c>
      <c r="B27" s="296">
        <f t="shared" si="8"/>
        <v>42491</v>
      </c>
      <c r="C27" s="192">
        <f>IF('Emp.-Detail'!F25="yes",E11)+IF('Emp.-Detail'!F25="NO",0)</f>
        <v>0</v>
      </c>
      <c r="D27" s="192">
        <f>IF('Emp.-Detail'!F25="YES",K11)+IF('Emp.-Detail'!F25="NO",I11,0)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0</v>
      </c>
      <c r="P27" s="192">
        <v>0</v>
      </c>
      <c r="Q27" s="297">
        <f t="shared" si="11"/>
        <v>3595</v>
      </c>
      <c r="R27" s="50"/>
      <c r="S27" s="1085" t="s">
        <v>592</v>
      </c>
      <c r="T27" s="1086"/>
      <c r="U27" s="1086"/>
      <c r="V27" s="1086"/>
      <c r="W27" s="1086"/>
      <c r="X27" s="1086"/>
      <c r="Y27" s="1086"/>
      <c r="Z27" s="1086"/>
      <c r="AA27" s="1086"/>
      <c r="AB27" s="1087">
        <f>AB5</f>
        <v>0</v>
      </c>
      <c r="AC27" s="1088"/>
      <c r="AD27" s="831">
        <f>AD15-(AD26+AB5)</f>
        <v>405143</v>
      </c>
      <c r="AE27" s="831"/>
      <c r="AF27" s="955"/>
      <c r="AG27" s="17"/>
    </row>
    <row r="28" spans="1:34" ht="19.5" customHeight="1">
      <c r="A28" s="187">
        <v>4</v>
      </c>
      <c r="B28" s="296">
        <f t="shared" si="8"/>
        <v>42522</v>
      </c>
      <c r="C28" s="192">
        <f>IF('Emp.-Detail'!F25="yes",E12)+IF('Emp.-Detail'!F25="NO",0)</f>
        <v>0</v>
      </c>
      <c r="D28" s="192">
        <f>IF('Emp.-Detail'!F25="YES",K12)+IF('Emp.-Detail'!F25="NO",I12,0)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0</v>
      </c>
      <c r="P28" s="192">
        <v>0</v>
      </c>
      <c r="Q28" s="297">
        <f t="shared" si="11"/>
        <v>3595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IF('Emp.-Detail'!F25="yes",E13)+IF('Emp.-Detail'!F25="NO",0)</f>
        <v>0</v>
      </c>
      <c r="D29" s="192">
        <f>IF('Emp.-Detail'!F25="YES",K13)+IF('Emp.-Detail'!F25="NO",I13,0)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0</v>
      </c>
      <c r="P29" s="192">
        <v>0</v>
      </c>
      <c r="Q29" s="297">
        <f t="shared" si="11"/>
        <v>3595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IF('Emp.-Detail'!F25="yes",E14)+IF('Emp.-Detail'!F25="NO",0)</f>
        <v>0</v>
      </c>
      <c r="D30" s="192">
        <f>IF('Emp.-Detail'!F25="YES",K14)+IF('Emp.-Detail'!F25="NO",J14,0)</f>
        <v>2820</v>
      </c>
      <c r="E30" s="195"/>
      <c r="F30" s="287">
        <f t="shared" si="9"/>
        <v>2820</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0</v>
      </c>
      <c r="P30" s="192">
        <v>0</v>
      </c>
      <c r="Q30" s="297">
        <f t="shared" si="11"/>
        <v>6415</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IF('Emp.-Detail'!F25="yes",E15)+IF('Emp.-Detail'!F25="NO",0)</f>
        <v>0</v>
      </c>
      <c r="D31" s="192">
        <f>IF('Emp.-Detail'!F25="YES",K15)+IF('Emp.-Detail'!F25="NO",J15,0)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0</v>
      </c>
      <c r="P31" s="192">
        <v>0</v>
      </c>
      <c r="Q31" s="297">
        <f t="shared" si="11"/>
        <v>3595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IF('Emp.-Detail'!F25="yes",E16)+IF('Emp.-Detail'!F25="NO",0)</f>
        <v>0</v>
      </c>
      <c r="D32" s="192">
        <f>IF('Emp.-Detail'!F25="YES",K16)+IF('Emp.-Detail'!F25="NO",J16,0)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0</v>
      </c>
      <c r="P32" s="192">
        <v>0</v>
      </c>
      <c r="Q32" s="297">
        <f t="shared" si="11"/>
        <v>3595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IF('Emp.-Detail'!F25="yes",E17)+IF('Emp.-Detail'!F25="NO",0)</f>
        <v>0</v>
      </c>
      <c r="D33" s="192">
        <f>IF('Emp.-Detail'!F25="YES",K17)+IF('Emp.-Detail'!F25="NO",J17,0)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0</v>
      </c>
      <c r="P33" s="192">
        <v>0</v>
      </c>
      <c r="Q33" s="297">
        <f t="shared" si="11"/>
        <v>3595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IF('Emp.-Detail'!F25="yes",E18)+IF('Emp.-Detail'!F25="NO",0)</f>
        <v>0</v>
      </c>
      <c r="D34" s="192">
        <f>IF('Emp.-Detail'!F25="YES",K18)+IF('Emp.-Detail'!F25="NO",J18,0)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0</v>
      </c>
      <c r="P34" s="192">
        <v>0</v>
      </c>
      <c r="Q34" s="297">
        <f t="shared" si="11"/>
        <v>3595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IF('Emp.-Detail'!F25="yes",E19)+IF('Emp.-Detail'!F25="NO",0)</f>
        <v>0</v>
      </c>
      <c r="D35" s="192">
        <f>IF('Emp.-Detail'!F25="YES",K19)+IF('Emp.-Detail'!F25="NO",J19,0)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0</v>
      </c>
      <c r="P35" s="192">
        <v>0</v>
      </c>
      <c r="Q35" s="297">
        <f t="shared" si="11"/>
        <v>3595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IF('Emp.-Detail'!F25="yes",E20)+IF('Emp.-Detail'!F25="NO",0)</f>
        <v>0</v>
      </c>
      <c r="D36" s="192">
        <f>IF('Emp.-Detail'!F25="YES",K20)+IF('Emp.-Detail'!F25="NO",J20,0)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0</v>
      </c>
      <c r="P36" s="192">
        <v>0</v>
      </c>
      <c r="Q36" s="297">
        <f t="shared" si="11"/>
        <v>3595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5559</v>
      </c>
      <c r="E37" s="306"/>
      <c r="F37" s="307">
        <f t="shared" si="9"/>
        <v>5559</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0</v>
      </c>
      <c r="P37" s="288">
        <f t="shared" si="12"/>
        <v>251.9</v>
      </c>
      <c r="Q37" s="305">
        <f t="shared" si="12"/>
        <v>48950.9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446922</v>
      </c>
      <c r="D38" s="860"/>
      <c r="E38" s="309"/>
      <c r="F38" s="310"/>
      <c r="G38" s="1001" t="s">
        <v>13</v>
      </c>
      <c r="H38" s="1001"/>
      <c r="I38" s="1001"/>
      <c r="J38" s="860">
        <f>Q37</f>
        <v>48950.9</v>
      </c>
      <c r="K38" s="860"/>
      <c r="L38" s="860"/>
      <c r="M38" s="310"/>
      <c r="N38" s="998" t="s">
        <v>15</v>
      </c>
      <c r="O38" s="998"/>
      <c r="P38" s="860">
        <f>Q21-Q37</f>
        <v>397971.1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405143</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405140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15514</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10514</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210</v>
      </c>
      <c r="V43" s="949"/>
      <c r="W43" s="949"/>
      <c r="X43" s="1067" t="s">
        <v>84</v>
      </c>
      <c r="Y43" s="1067"/>
      <c r="Z43" s="1067"/>
      <c r="AA43" s="953">
        <f>ROUND((AD42*1%),0)</f>
        <v>105</v>
      </c>
      <c r="AB43" s="953"/>
      <c r="AC43" s="953"/>
      <c r="AD43" s="951">
        <f>U43+AA43</f>
        <v>315</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10829</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IF('Emp.-Detail'!F25="NO",0,ROUND(E21+K21,0))</f>
        <v>0</v>
      </c>
      <c r="Q46" s="943"/>
      <c r="R46" s="22"/>
      <c r="S46" s="1071" t="s">
        <v>87</v>
      </c>
      <c r="T46" s="1072"/>
      <c r="U46" s="1072"/>
      <c r="V46" s="1072"/>
      <c r="W46" s="1072"/>
      <c r="X46" s="1072"/>
      <c r="Y46" s="1072"/>
      <c r="Z46" s="1072"/>
      <c r="AA46" s="1072"/>
      <c r="AB46" s="1072"/>
      <c r="AC46" s="1072"/>
      <c r="AD46" s="796">
        <f>AD44-AD45</f>
        <v>10829</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0</v>
      </c>
      <c r="T49" s="1081"/>
      <c r="U49" s="1081"/>
      <c r="V49" s="1070">
        <f>SUM(O28:O30)</f>
        <v>0</v>
      </c>
      <c r="W49" s="1070"/>
      <c r="X49" s="1070"/>
      <c r="Y49" s="1070">
        <f>SUM(O31:O33)</f>
        <v>0</v>
      </c>
      <c r="Z49" s="1070"/>
      <c r="AA49" s="1070"/>
      <c r="AB49" s="951">
        <f>SUM(O34:O36)</f>
        <v>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10829</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DEEP CHAND PRAJAPAT</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446922</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446922</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446922</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DEEP CHAND PRAJAPAT</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BDRPP3136R</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9024708918</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446922</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'Emp.-Detail'!O25</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5559</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109058</v>
      </c>
      <c r="K69" s="788"/>
      <c r="L69" s="788"/>
      <c r="M69" s="776"/>
      <c r="N69" s="775">
        <f>SUM(O25:O27)</f>
        <v>0</v>
      </c>
      <c r="O69" s="776"/>
      <c r="P69" s="775">
        <f>N69</f>
        <v>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112214</v>
      </c>
      <c r="K70" s="788"/>
      <c r="L70" s="788"/>
      <c r="M70" s="776"/>
      <c r="N70" s="775">
        <f>SUM(O28:O30)</f>
        <v>0</v>
      </c>
      <c r="O70" s="776"/>
      <c r="P70" s="775">
        <f>N70</f>
        <v>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112355</v>
      </c>
      <c r="K71" s="788"/>
      <c r="L71" s="788"/>
      <c r="M71" s="776"/>
      <c r="N71" s="775">
        <f>SUM(O31:O33)</f>
        <v>0</v>
      </c>
      <c r="O71" s="776"/>
      <c r="P71" s="775">
        <f t="shared" ref="P71:P72" si="13">N71</f>
        <v>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113295</v>
      </c>
      <c r="K72" s="788"/>
      <c r="L72" s="788"/>
      <c r="M72" s="776"/>
      <c r="N72" s="775">
        <f>SUM(O34:O36)</f>
        <v>0</v>
      </c>
      <c r="O72" s="776"/>
      <c r="P72" s="775">
        <f t="shared" si="13"/>
        <v>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446922</v>
      </c>
      <c r="K73" s="808"/>
      <c r="L73" s="808"/>
      <c r="M73" s="809"/>
      <c r="N73" s="845">
        <f>SUM(N69:N72)</f>
        <v>0</v>
      </c>
      <c r="O73" s="809"/>
      <c r="P73" s="845">
        <f>SUM(P69:P72)</f>
        <v>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0</v>
      </c>
      <c r="E76" s="219"/>
      <c r="F76" s="219">
        <f>O26</f>
        <v>0</v>
      </c>
      <c r="G76" s="219">
        <f>O27</f>
        <v>0</v>
      </c>
      <c r="H76" s="219">
        <f>O28</f>
        <v>0</v>
      </c>
      <c r="I76" s="219">
        <f>O29</f>
        <v>0</v>
      </c>
      <c r="J76" s="219">
        <f>O30</f>
        <v>0</v>
      </c>
      <c r="K76" s="219"/>
      <c r="L76" s="219">
        <f>O31</f>
        <v>0</v>
      </c>
      <c r="M76" s="219">
        <f>O32</f>
        <v>0</v>
      </c>
      <c r="N76" s="219">
        <f>O33</f>
        <v>0</v>
      </c>
      <c r="O76" s="219">
        <f>O34</f>
        <v>0</v>
      </c>
      <c r="P76" s="219">
        <f>O35</f>
        <v>0</v>
      </c>
      <c r="Q76" s="220">
        <f>O36</f>
        <v>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41779</v>
      </c>
      <c r="AC81" s="1113"/>
      <c r="AD81" s="773">
        <f>AD26</f>
        <v>41779</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'Emp.-Detail'!N25</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'Emp.-Detail'!N25</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'Emp.-Detail'!N25</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'Emp.-Detail'!J25</f>
        <v>0</v>
      </c>
      <c r="C87" s="788"/>
      <c r="D87" s="776"/>
      <c r="E87" s="257"/>
      <c r="F87" s="1233" t="str">
        <f>'Emp.-Detail'!K25</f>
        <v>0</v>
      </c>
      <c r="G87" s="791"/>
      <c r="H87" s="791"/>
      <c r="I87" s="792"/>
      <c r="J87" s="810" t="str">
        <f>'Emp.-Detail'!L25</f>
        <v>00/00/0000</v>
      </c>
      <c r="K87" s="811"/>
      <c r="L87" s="811"/>
      <c r="M87" s="812"/>
      <c r="N87" s="1233" t="str">
        <f>'Emp.-Detail'!M25</f>
        <v>00</v>
      </c>
      <c r="O87" s="792"/>
      <c r="P87" s="793" t="str">
        <f>'Emp.-Detail'!N25</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41779</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405140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10514</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315</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10829</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10829</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446922</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446922</v>
      </c>
      <c r="P104" s="776"/>
      <c r="Q104" s="258">
        <f>O104</f>
        <v>446922</v>
      </c>
      <c r="R104" s="235"/>
      <c r="S104" s="254"/>
      <c r="T104" s="229" t="str">
        <f>'DDO '!L10</f>
        <v>PRINCIPAL</v>
      </c>
      <c r="U104" s="229"/>
      <c r="V104" s="780" t="s">
        <v>51</v>
      </c>
      <c r="W104" s="780"/>
      <c r="X104" s="780"/>
      <c r="Y104" s="780"/>
      <c r="Z104" s="770">
        <f>AD100</f>
        <v>10829</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TEN  Thousand  EIGHT  Hundred  TWENTY  NINE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446922</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446922</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446922</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8"/>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22.xml><?xml version="1.0" encoding="utf-8"?>
<worksheet xmlns="http://schemas.openxmlformats.org/spreadsheetml/2006/main" xmlns:r="http://schemas.openxmlformats.org/officeDocument/2006/relationships">
  <dimension ref="A1:AJ150"/>
  <sheetViews>
    <sheetView view="pageBreakPreview" topLeftCell="A14" zoomScaleSheetLayoutView="100" workbookViewId="0">
      <selection activeCell="M25" sqref="M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MANGI LAL </v>
      </c>
      <c r="T3" s="538"/>
      <c r="U3" s="538"/>
      <c r="V3" s="538"/>
      <c r="W3" s="949" t="str">
        <f>P4</f>
        <v>LDC</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'Emp.-Detail'!B26</f>
        <v xml:space="preserve">MANGI LAL </v>
      </c>
      <c r="E4" s="949"/>
      <c r="F4" s="949"/>
      <c r="G4" s="949"/>
      <c r="H4" s="949"/>
      <c r="I4" s="854"/>
      <c r="J4" s="1185">
        <f>'Emp.-Detail'!A26</f>
        <v>18</v>
      </c>
      <c r="K4" s="1186"/>
      <c r="L4" s="1187"/>
      <c r="M4" s="982" t="s">
        <v>8</v>
      </c>
      <c r="N4" s="833"/>
      <c r="O4" s="833"/>
      <c r="P4" s="949" t="str">
        <f>'Emp.-Detail'!C26</f>
        <v>LDC</v>
      </c>
      <c r="Q4" s="950"/>
      <c r="R4" s="50"/>
      <c r="S4" s="1250" t="str">
        <f>D5</f>
        <v>AMPPD4396D</v>
      </c>
      <c r="T4" s="538"/>
      <c r="U4" s="538"/>
      <c r="V4" s="538"/>
      <c r="W4" s="959" t="str">
        <f>'Emp.-Detail'!H26</f>
        <v>61118689720</v>
      </c>
      <c r="X4" s="949"/>
      <c r="Y4" s="949"/>
      <c r="Z4" s="949"/>
      <c r="AA4" s="949" t="str">
        <f>'Emp.-Detail'!I26</f>
        <v>SBBJ,Churu</v>
      </c>
      <c r="AB4" s="949"/>
      <c r="AC4" s="949"/>
      <c r="AD4" s="949"/>
      <c r="AE4" s="949"/>
      <c r="AF4" s="950"/>
      <c r="AG4" s="17"/>
    </row>
    <row r="5" spans="1:33" ht="19.5" customHeight="1" thickBot="1">
      <c r="A5" s="954" t="s">
        <v>135</v>
      </c>
      <c r="B5" s="833"/>
      <c r="C5" s="833"/>
      <c r="D5" s="949" t="str">
        <f>'Emp.-Detail'!D26</f>
        <v>AMPPD4396D</v>
      </c>
      <c r="E5" s="949"/>
      <c r="F5" s="949"/>
      <c r="G5" s="949"/>
      <c r="H5" s="949"/>
      <c r="I5" s="854"/>
      <c r="J5" s="1188"/>
      <c r="K5" s="1189"/>
      <c r="L5" s="1190"/>
      <c r="M5" s="982" t="s">
        <v>137</v>
      </c>
      <c r="N5" s="833"/>
      <c r="O5" s="833"/>
      <c r="P5" s="959">
        <f>'Emp.-Detail'!G26</f>
        <v>7597440273</v>
      </c>
      <c r="Q5" s="950"/>
      <c r="R5" s="50"/>
      <c r="S5" s="974" t="s">
        <v>203</v>
      </c>
      <c r="T5" s="975"/>
      <c r="U5" s="975"/>
      <c r="V5" s="975"/>
      <c r="W5" s="951">
        <f>SUM(Q9:Q20)</f>
        <v>394749</v>
      </c>
      <c r="X5" s="951"/>
      <c r="Y5" s="1248" t="s">
        <v>202</v>
      </c>
      <c r="Z5" s="1249"/>
      <c r="AA5" s="1088"/>
      <c r="AB5" s="951">
        <f>P46</f>
        <v>0</v>
      </c>
      <c r="AC5" s="949"/>
      <c r="AD5" s="941">
        <f>W5+AB5</f>
        <v>394749</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394749</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394749</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394749</v>
      </c>
      <c r="AE8" s="942"/>
      <c r="AF8" s="943"/>
      <c r="AG8" s="17"/>
    </row>
    <row r="9" spans="1:33" ht="19.5" customHeight="1">
      <c r="A9" s="285">
        <v>1</v>
      </c>
      <c r="B9" s="286">
        <v>42430</v>
      </c>
      <c r="C9" s="190">
        <f>'Emp.-Detail'!E26</f>
        <v>12940</v>
      </c>
      <c r="D9" s="190">
        <f>ROUND(C9*119%,0)</f>
        <v>15399</v>
      </c>
      <c r="E9" s="191">
        <f>ROUND((C9+D9)*10%,0)</f>
        <v>2834</v>
      </c>
      <c r="F9" s="190">
        <f>ROUND(C9*10%,0)</f>
        <v>1294</v>
      </c>
      <c r="G9" s="190">
        <v>0</v>
      </c>
      <c r="H9" s="190">
        <v>0</v>
      </c>
      <c r="I9" s="192">
        <f>ROUND(C9*6%,0)*3</f>
        <v>2328</v>
      </c>
      <c r="J9" s="190">
        <v>0</v>
      </c>
      <c r="K9" s="190">
        <f>ROUND((I9+J9)*10%,0)</f>
        <v>233</v>
      </c>
      <c r="L9" s="190">
        <v>14558</v>
      </c>
      <c r="M9" s="190">
        <v>0</v>
      </c>
      <c r="N9" s="190">
        <v>0</v>
      </c>
      <c r="O9" s="190">
        <v>0</v>
      </c>
      <c r="P9" s="193">
        <v>0</v>
      </c>
      <c r="Q9" s="290">
        <f>C9+D9+F9+G9+H9+I9+J9+L9+M9+N9+O9</f>
        <v>46519</v>
      </c>
      <c r="R9" s="282"/>
      <c r="S9" s="984" t="s">
        <v>144</v>
      </c>
      <c r="T9" s="985"/>
      <c r="U9" s="985"/>
      <c r="V9" s="985"/>
      <c r="W9" s="985"/>
      <c r="X9" s="985"/>
      <c r="Y9" s="985"/>
      <c r="Z9" s="971" t="s">
        <v>18</v>
      </c>
      <c r="AA9" s="971"/>
      <c r="AB9" s="967">
        <f>O49</f>
        <v>0</v>
      </c>
      <c r="AC9" s="968"/>
      <c r="AD9" s="977">
        <f>AD8+AB9</f>
        <v>394749</v>
      </c>
      <c r="AE9" s="978"/>
      <c r="AF9" s="979"/>
      <c r="AG9" s="17"/>
    </row>
    <row r="10" spans="1:33" ht="19.5" customHeight="1">
      <c r="A10" s="187">
        <v>2</v>
      </c>
      <c r="B10" s="286">
        <v>42461</v>
      </c>
      <c r="C10" s="192">
        <f>C9</f>
        <v>12940</v>
      </c>
      <c r="D10" s="190">
        <f>ROUND(C10*125%,0)</f>
        <v>16175</v>
      </c>
      <c r="E10" s="191">
        <f t="shared" ref="E10:E20" si="0">ROUND((C10+D10)*10%,0)</f>
        <v>2912</v>
      </c>
      <c r="F10" s="190">
        <f t="shared" ref="F10:F20" si="1">ROUND(C10*10%,0)</f>
        <v>1294</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30409</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12940</v>
      </c>
      <c r="D11" s="190">
        <f t="shared" ref="D11:D15" si="4">ROUND(C11*125%,0)</f>
        <v>16175</v>
      </c>
      <c r="E11" s="191">
        <f t="shared" si="0"/>
        <v>2912</v>
      </c>
      <c r="F11" s="190">
        <f t="shared" si="1"/>
        <v>1294</v>
      </c>
      <c r="G11" s="192">
        <f t="shared" ref="G11:H20" si="5">G10</f>
        <v>0</v>
      </c>
      <c r="H11" s="192">
        <f t="shared" si="5"/>
        <v>0</v>
      </c>
      <c r="I11" s="192">
        <v>0</v>
      </c>
      <c r="J11" s="190">
        <v>0</v>
      </c>
      <c r="K11" s="190">
        <f t="shared" si="2"/>
        <v>0</v>
      </c>
      <c r="L11" s="190">
        <v>0</v>
      </c>
      <c r="M11" s="190">
        <v>0</v>
      </c>
      <c r="N11" s="190">
        <v>0</v>
      </c>
      <c r="O11" s="190">
        <v>0</v>
      </c>
      <c r="P11" s="193">
        <v>0</v>
      </c>
      <c r="Q11" s="290">
        <f t="shared" si="3"/>
        <v>30409</v>
      </c>
      <c r="R11" s="50"/>
      <c r="S11" s="292" t="s">
        <v>146</v>
      </c>
      <c r="T11" s="958">
        <f>O50</f>
        <v>0</v>
      </c>
      <c r="U11" s="948"/>
      <c r="V11" s="980">
        <f>O51</f>
        <v>0</v>
      </c>
      <c r="W11" s="958"/>
      <c r="X11" s="948"/>
      <c r="Y11" s="980">
        <f>Q49</f>
        <v>0</v>
      </c>
      <c r="Z11" s="958"/>
      <c r="AA11" s="948"/>
      <c r="AB11" s="980">
        <f>T11+V11+Y11</f>
        <v>0</v>
      </c>
      <c r="AC11" s="948"/>
      <c r="AD11" s="941">
        <f>AD9-AB11</f>
        <v>394749</v>
      </c>
      <c r="AE11" s="942"/>
      <c r="AF11" s="943"/>
      <c r="AG11" s="17"/>
    </row>
    <row r="12" spans="1:33" ht="19.5" customHeight="1">
      <c r="A12" s="187">
        <v>4</v>
      </c>
      <c r="B12" s="286">
        <v>42522</v>
      </c>
      <c r="C12" s="192">
        <f>C11</f>
        <v>12940</v>
      </c>
      <c r="D12" s="190">
        <f t="shared" si="4"/>
        <v>16175</v>
      </c>
      <c r="E12" s="191">
        <f t="shared" si="0"/>
        <v>2912</v>
      </c>
      <c r="F12" s="190">
        <f t="shared" si="1"/>
        <v>1294</v>
      </c>
      <c r="G12" s="192">
        <f t="shared" si="5"/>
        <v>0</v>
      </c>
      <c r="H12" s="192">
        <f t="shared" si="5"/>
        <v>0</v>
      </c>
      <c r="I12" s="192">
        <v>0</v>
      </c>
      <c r="J12" s="190">
        <v>0</v>
      </c>
      <c r="K12" s="190">
        <f t="shared" si="2"/>
        <v>0</v>
      </c>
      <c r="L12" s="190">
        <v>0</v>
      </c>
      <c r="M12" s="190">
        <v>0</v>
      </c>
      <c r="N12" s="190">
        <v>0</v>
      </c>
      <c r="O12" s="190">
        <v>0</v>
      </c>
      <c r="P12" s="193">
        <v>0</v>
      </c>
      <c r="Q12" s="290">
        <f t="shared" si="3"/>
        <v>30409</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13330</v>
      </c>
      <c r="D13" s="190">
        <f t="shared" si="4"/>
        <v>16663</v>
      </c>
      <c r="E13" s="191">
        <f t="shared" si="0"/>
        <v>2999</v>
      </c>
      <c r="F13" s="190">
        <f t="shared" si="1"/>
        <v>1333</v>
      </c>
      <c r="G13" s="192">
        <f t="shared" si="5"/>
        <v>0</v>
      </c>
      <c r="H13" s="192">
        <f t="shared" si="5"/>
        <v>0</v>
      </c>
      <c r="I13" s="192">
        <v>0</v>
      </c>
      <c r="J13" s="190">
        <v>0</v>
      </c>
      <c r="K13" s="190">
        <f t="shared" si="2"/>
        <v>0</v>
      </c>
      <c r="L13" s="190">
        <v>0</v>
      </c>
      <c r="M13" s="190">
        <v>0</v>
      </c>
      <c r="N13" s="190">
        <v>0</v>
      </c>
      <c r="O13" s="190">
        <v>0</v>
      </c>
      <c r="P13" s="193">
        <v>0</v>
      </c>
      <c r="Q13" s="290">
        <f t="shared" si="3"/>
        <v>31326</v>
      </c>
      <c r="R13" s="70"/>
      <c r="S13" s="991">
        <f>O52</f>
        <v>0</v>
      </c>
      <c r="T13" s="948"/>
      <c r="U13" s="980">
        <f>O53</f>
        <v>0</v>
      </c>
      <c r="V13" s="948"/>
      <c r="W13" s="980">
        <f>O54</f>
        <v>0</v>
      </c>
      <c r="X13" s="948"/>
      <c r="Y13" s="980">
        <f>O55</f>
        <v>0</v>
      </c>
      <c r="Z13" s="958"/>
      <c r="AA13" s="958"/>
      <c r="AB13" s="951">
        <f>SUM(S13:AA13)</f>
        <v>0</v>
      </c>
      <c r="AC13" s="951"/>
      <c r="AD13" s="941">
        <f>AD11+AB13</f>
        <v>394749</v>
      </c>
      <c r="AE13" s="965"/>
      <c r="AF13" s="966"/>
      <c r="AG13" s="17"/>
    </row>
    <row r="14" spans="1:33" ht="19.5" customHeight="1">
      <c r="A14" s="187">
        <v>6</v>
      </c>
      <c r="B14" s="286">
        <v>42583</v>
      </c>
      <c r="C14" s="192">
        <f t="shared" ref="C14:C20" si="6">C13</f>
        <v>13330</v>
      </c>
      <c r="D14" s="190">
        <f>ROUND(C14*125%,0)</f>
        <v>16663</v>
      </c>
      <c r="E14" s="191">
        <f t="shared" si="0"/>
        <v>2999</v>
      </c>
      <c r="F14" s="190">
        <f t="shared" si="1"/>
        <v>1333</v>
      </c>
      <c r="G14" s="192">
        <f t="shared" si="5"/>
        <v>0</v>
      </c>
      <c r="H14" s="192">
        <f t="shared" si="5"/>
        <v>0</v>
      </c>
      <c r="I14" s="192">
        <v>0</v>
      </c>
      <c r="J14" s="192">
        <f>ROUND(C13*6%,0)*3</f>
        <v>2400</v>
      </c>
      <c r="K14" s="190">
        <f t="shared" si="2"/>
        <v>240</v>
      </c>
      <c r="L14" s="190">
        <v>0</v>
      </c>
      <c r="M14" s="190">
        <v>0</v>
      </c>
      <c r="N14" s="190">
        <v>0</v>
      </c>
      <c r="O14" s="190">
        <v>0</v>
      </c>
      <c r="P14" s="193">
        <v>0</v>
      </c>
      <c r="Q14" s="290">
        <f t="shared" si="3"/>
        <v>33726</v>
      </c>
      <c r="R14" s="50"/>
      <c r="S14" s="954" t="s">
        <v>19</v>
      </c>
      <c r="T14" s="833"/>
      <c r="U14" s="833"/>
      <c r="V14" s="833"/>
      <c r="W14" s="833"/>
      <c r="X14" s="833"/>
      <c r="Y14" s="833"/>
      <c r="Z14" s="833"/>
      <c r="AA14" s="951">
        <f>I55</f>
        <v>0</v>
      </c>
      <c r="AB14" s="951"/>
      <c r="AC14" s="951"/>
      <c r="AD14" s="941">
        <f>AD13+AA14</f>
        <v>394749</v>
      </c>
      <c r="AE14" s="942"/>
      <c r="AF14" s="943"/>
      <c r="AG14" s="17"/>
    </row>
    <row r="15" spans="1:33" ht="19.5" customHeight="1">
      <c r="A15" s="187">
        <v>7</v>
      </c>
      <c r="B15" s="286">
        <v>42614</v>
      </c>
      <c r="C15" s="192">
        <f t="shared" si="6"/>
        <v>13330</v>
      </c>
      <c r="D15" s="190">
        <f t="shared" si="4"/>
        <v>16663</v>
      </c>
      <c r="E15" s="191">
        <f t="shared" si="0"/>
        <v>2999</v>
      </c>
      <c r="F15" s="190">
        <f t="shared" si="1"/>
        <v>1333</v>
      </c>
      <c r="G15" s="192">
        <f t="shared" si="5"/>
        <v>0</v>
      </c>
      <c r="H15" s="192">
        <f t="shared" si="5"/>
        <v>0</v>
      </c>
      <c r="I15" s="192">
        <v>0</v>
      </c>
      <c r="J15" s="192">
        <v>0</v>
      </c>
      <c r="K15" s="190">
        <f t="shared" si="2"/>
        <v>0</v>
      </c>
      <c r="L15" s="190">
        <v>0</v>
      </c>
      <c r="M15" s="190">
        <v>0</v>
      </c>
      <c r="N15" s="190">
        <v>0</v>
      </c>
      <c r="O15" s="190">
        <v>0</v>
      </c>
      <c r="P15" s="193">
        <v>0</v>
      </c>
      <c r="Q15" s="290">
        <f t="shared" si="3"/>
        <v>31326</v>
      </c>
      <c r="R15" s="50"/>
      <c r="S15" s="992" t="s">
        <v>20</v>
      </c>
      <c r="T15" s="993"/>
      <c r="U15" s="993"/>
      <c r="V15" s="993"/>
      <c r="W15" s="993"/>
      <c r="X15" s="993"/>
      <c r="Y15" s="993"/>
      <c r="Z15" s="993"/>
      <c r="AA15" s="993"/>
      <c r="AB15" s="993"/>
      <c r="AC15" s="993"/>
      <c r="AD15" s="941">
        <f>AD14</f>
        <v>394749</v>
      </c>
      <c r="AE15" s="942"/>
      <c r="AF15" s="943"/>
      <c r="AG15" s="17"/>
    </row>
    <row r="16" spans="1:33" ht="19.5" customHeight="1">
      <c r="A16" s="187">
        <v>8</v>
      </c>
      <c r="B16" s="286">
        <v>42644</v>
      </c>
      <c r="C16" s="192">
        <f t="shared" si="6"/>
        <v>13330</v>
      </c>
      <c r="D16" s="190">
        <f>ROUND(C16*131%,0)</f>
        <v>17462</v>
      </c>
      <c r="E16" s="191">
        <f t="shared" si="0"/>
        <v>3079</v>
      </c>
      <c r="F16" s="190">
        <f t="shared" si="1"/>
        <v>1333</v>
      </c>
      <c r="G16" s="192">
        <f t="shared" si="5"/>
        <v>0</v>
      </c>
      <c r="H16" s="192">
        <f t="shared" si="5"/>
        <v>0</v>
      </c>
      <c r="I16" s="192">
        <v>0</v>
      </c>
      <c r="J16" s="192">
        <v>0</v>
      </c>
      <c r="K16" s="190">
        <f t="shared" si="2"/>
        <v>0</v>
      </c>
      <c r="L16" s="190">
        <v>0</v>
      </c>
      <c r="M16" s="190">
        <v>0</v>
      </c>
      <c r="N16" s="190">
        <v>0</v>
      </c>
      <c r="O16" s="190">
        <v>0</v>
      </c>
      <c r="P16" s="193">
        <v>0</v>
      </c>
      <c r="Q16" s="290">
        <f t="shared" si="3"/>
        <v>32125</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13330</v>
      </c>
      <c r="D17" s="190">
        <f>ROUND(C17*131%,0)</f>
        <v>17462</v>
      </c>
      <c r="E17" s="191">
        <f t="shared" si="0"/>
        <v>3079</v>
      </c>
      <c r="F17" s="190">
        <f t="shared" si="1"/>
        <v>1333</v>
      </c>
      <c r="G17" s="192">
        <f t="shared" si="5"/>
        <v>0</v>
      </c>
      <c r="H17" s="192">
        <f t="shared" si="5"/>
        <v>0</v>
      </c>
      <c r="I17" s="192">
        <v>0</v>
      </c>
      <c r="J17" s="192">
        <v>0</v>
      </c>
      <c r="K17" s="190">
        <f t="shared" si="2"/>
        <v>0</v>
      </c>
      <c r="L17" s="190">
        <v>0</v>
      </c>
      <c r="M17" s="190">
        <v>0</v>
      </c>
      <c r="N17" s="190">
        <v>0</v>
      </c>
      <c r="O17" s="190">
        <v>0</v>
      </c>
      <c r="P17" s="193">
        <v>0</v>
      </c>
      <c r="Q17" s="290">
        <f t="shared" si="3"/>
        <v>32125</v>
      </c>
      <c r="R17" s="50"/>
      <c r="S17" s="954" t="s">
        <v>157</v>
      </c>
      <c r="T17" s="833"/>
      <c r="U17" s="833"/>
      <c r="V17" s="951">
        <f>IF('Emp.-Detail'!F26="NO",F37,0)</f>
        <v>4728</v>
      </c>
      <c r="W17" s="951"/>
      <c r="X17" s="833" t="s">
        <v>167</v>
      </c>
      <c r="Y17" s="833"/>
      <c r="Z17" s="833"/>
      <c r="AA17" s="833"/>
      <c r="AB17" s="833"/>
      <c r="AC17" s="833"/>
      <c r="AD17" s="831">
        <f>F45</f>
        <v>0</v>
      </c>
      <c r="AE17" s="831"/>
      <c r="AF17" s="955"/>
      <c r="AG17" s="17"/>
    </row>
    <row r="18" spans="1:34" ht="19.5" customHeight="1">
      <c r="A18" s="187">
        <v>10</v>
      </c>
      <c r="B18" s="286">
        <v>42705</v>
      </c>
      <c r="C18" s="192">
        <f t="shared" si="6"/>
        <v>13330</v>
      </c>
      <c r="D18" s="190">
        <f>ROUND(C18*131%,0)</f>
        <v>17462</v>
      </c>
      <c r="E18" s="191">
        <f t="shared" si="0"/>
        <v>3079</v>
      </c>
      <c r="F18" s="190">
        <f t="shared" si="1"/>
        <v>1333</v>
      </c>
      <c r="G18" s="192">
        <f t="shared" si="5"/>
        <v>0</v>
      </c>
      <c r="H18" s="192">
        <f t="shared" si="5"/>
        <v>0</v>
      </c>
      <c r="I18" s="192">
        <v>0</v>
      </c>
      <c r="J18" s="192">
        <v>0</v>
      </c>
      <c r="K18" s="190">
        <f t="shared" si="2"/>
        <v>0</v>
      </c>
      <c r="L18" s="190">
        <v>0</v>
      </c>
      <c r="M18" s="190">
        <v>0</v>
      </c>
      <c r="N18" s="190">
        <v>0</v>
      </c>
      <c r="O18" s="190">
        <v>0</v>
      </c>
      <c r="P18" s="193">
        <v>0</v>
      </c>
      <c r="Q18" s="290">
        <f t="shared" si="3"/>
        <v>32125</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13330</v>
      </c>
      <c r="D19" s="190">
        <f>ROUND(C19*131%,0)</f>
        <v>17462</v>
      </c>
      <c r="E19" s="191">
        <f t="shared" si="0"/>
        <v>3079</v>
      </c>
      <c r="F19" s="190">
        <f t="shared" si="1"/>
        <v>1333</v>
      </c>
      <c r="G19" s="192">
        <f t="shared" si="5"/>
        <v>0</v>
      </c>
      <c r="H19" s="192">
        <f t="shared" si="5"/>
        <v>0</v>
      </c>
      <c r="I19" s="192">
        <v>0</v>
      </c>
      <c r="J19" s="192">
        <v>0</v>
      </c>
      <c r="K19" s="190">
        <f t="shared" si="2"/>
        <v>0</v>
      </c>
      <c r="L19" s="190">
        <v>0</v>
      </c>
      <c r="M19" s="190">
        <v>0</v>
      </c>
      <c r="N19" s="190">
        <v>0</v>
      </c>
      <c r="O19" s="190">
        <v>0</v>
      </c>
      <c r="P19" s="193">
        <v>0</v>
      </c>
      <c r="Q19" s="290">
        <f t="shared" si="3"/>
        <v>32125</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13330</v>
      </c>
      <c r="D20" s="190">
        <f>ROUND(C20*131%,0)</f>
        <v>17462</v>
      </c>
      <c r="E20" s="191">
        <f t="shared" si="0"/>
        <v>3079</v>
      </c>
      <c r="F20" s="190">
        <f t="shared" si="1"/>
        <v>1333</v>
      </c>
      <c r="G20" s="192">
        <f t="shared" si="5"/>
        <v>0</v>
      </c>
      <c r="H20" s="192">
        <f t="shared" si="5"/>
        <v>0</v>
      </c>
      <c r="I20" s="192">
        <v>0</v>
      </c>
      <c r="J20" s="192">
        <v>0</v>
      </c>
      <c r="K20" s="190">
        <f t="shared" si="2"/>
        <v>0</v>
      </c>
      <c r="L20" s="190">
        <v>0</v>
      </c>
      <c r="M20" s="190">
        <v>0</v>
      </c>
      <c r="N20" s="190">
        <v>0</v>
      </c>
      <c r="O20" s="190">
        <v>0</v>
      </c>
      <c r="P20" s="193">
        <v>0</v>
      </c>
      <c r="Q20" s="290">
        <f t="shared" si="3"/>
        <v>32125</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158400</v>
      </c>
      <c r="D21" s="287">
        <f>SUM(D9:D20)</f>
        <v>201223</v>
      </c>
      <c r="E21" s="288">
        <f>SUM(E9:E20)</f>
        <v>35962</v>
      </c>
      <c r="F21" s="287">
        <f>SUM(F9:F20)</f>
        <v>15840</v>
      </c>
      <c r="G21" s="287">
        <f t="shared" si="7"/>
        <v>0</v>
      </c>
      <c r="H21" s="287">
        <f>SUM(H9:H20)</f>
        <v>0</v>
      </c>
      <c r="I21" s="287">
        <f t="shared" si="7"/>
        <v>2328</v>
      </c>
      <c r="J21" s="287">
        <f t="shared" si="7"/>
        <v>2400</v>
      </c>
      <c r="K21" s="287">
        <f>SUM(K9:K20)</f>
        <v>473</v>
      </c>
      <c r="L21" s="287">
        <f t="shared" si="7"/>
        <v>14558</v>
      </c>
      <c r="M21" s="287">
        <f t="shared" si="7"/>
        <v>0</v>
      </c>
      <c r="N21" s="287">
        <f t="shared" si="7"/>
        <v>0</v>
      </c>
      <c r="O21" s="287">
        <f>SUM(O9:O20)</f>
        <v>0</v>
      </c>
      <c r="P21" s="289">
        <f>SUM(P9:P20)</f>
        <v>0</v>
      </c>
      <c r="Q21" s="84">
        <f>SUM(Q9:Q20)</f>
        <v>394749</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IF('Emp.-Detail'!F26="yes",E9)+IF('Emp.-Detail'!F26="NO",0)</f>
        <v>0</v>
      </c>
      <c r="D25" s="192">
        <f>IF('Emp.-Detail'!F26="YES",K9)+IF('Emp.-Detail'!F26="NO",I9,0)</f>
        <v>2328</v>
      </c>
      <c r="E25" s="195"/>
      <c r="F25" s="287">
        <f>SUM(C25:D25)</f>
        <v>2328</v>
      </c>
      <c r="G25" s="192">
        <v>0</v>
      </c>
      <c r="H25" s="194">
        <v>0</v>
      </c>
      <c r="I25" s="192">
        <v>3000</v>
      </c>
      <c r="J25" s="195">
        <v>0</v>
      </c>
      <c r="K25" s="195"/>
      <c r="L25" s="195">
        <v>0</v>
      </c>
      <c r="M25" s="196">
        <v>595</v>
      </c>
      <c r="N25" s="196">
        <v>0</v>
      </c>
      <c r="O25" s="196">
        <v>0</v>
      </c>
      <c r="P25" s="192">
        <v>0</v>
      </c>
      <c r="Q25" s="297">
        <f>SUM(F25:P25)</f>
        <v>5923</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IF('Emp.-Detail'!F26="yes",E10)+IF('Emp.-Detail'!F26="NO",0)</f>
        <v>0</v>
      </c>
      <c r="D26" s="192">
        <f>IF('Emp.-Detail'!F26="YES",K10)+IF('Emp.-Detail'!F26="NO",I10,0)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0</v>
      </c>
      <c r="P26" s="194">
        <f>'Emp.-Detail'!AB9+'Emp.-Detail'!AB9*14.5%</f>
        <v>251.9</v>
      </c>
      <c r="Q26" s="297">
        <f t="shared" ref="Q26:Q36" si="11">SUM(F26:P26)</f>
        <v>3846.9</v>
      </c>
      <c r="R26" s="50"/>
      <c r="S26" s="1089" t="s">
        <v>279</v>
      </c>
      <c r="T26" s="1090"/>
      <c r="U26" s="1090"/>
      <c r="V26" s="1090"/>
      <c r="W26" s="1090"/>
      <c r="X26" s="1090"/>
      <c r="Y26" s="1090"/>
      <c r="Z26" s="1090"/>
      <c r="AA26" s="1091"/>
      <c r="AB26" s="942">
        <f>SUM(V17:V25)+SUM(AD17:AD25)</f>
        <v>40948</v>
      </c>
      <c r="AC26" s="957"/>
      <c r="AD26" s="1135">
        <f>IF(AB26&lt;=150000,AB26,150000)+AD25</f>
        <v>40948</v>
      </c>
      <c r="AE26" s="1136"/>
      <c r="AF26" s="1137"/>
      <c r="AG26" s="17"/>
    </row>
    <row r="27" spans="1:34" ht="19.5" customHeight="1">
      <c r="A27" s="187">
        <v>3</v>
      </c>
      <c r="B27" s="296">
        <f t="shared" si="8"/>
        <v>42491</v>
      </c>
      <c r="C27" s="192">
        <f>IF('Emp.-Detail'!F26="yes",E11)+IF('Emp.-Detail'!F26="NO",0)</f>
        <v>0</v>
      </c>
      <c r="D27" s="192">
        <f>IF('Emp.-Detail'!F26="YES",K11)+IF('Emp.-Detail'!F26="NO",I11,0)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0</v>
      </c>
      <c r="P27" s="192">
        <v>0</v>
      </c>
      <c r="Q27" s="297">
        <f t="shared" si="11"/>
        <v>3595</v>
      </c>
      <c r="R27" s="50"/>
      <c r="S27" s="1085" t="s">
        <v>592</v>
      </c>
      <c r="T27" s="1086"/>
      <c r="U27" s="1086"/>
      <c r="V27" s="1086"/>
      <c r="W27" s="1086"/>
      <c r="X27" s="1086"/>
      <c r="Y27" s="1086"/>
      <c r="Z27" s="1086"/>
      <c r="AA27" s="1086"/>
      <c r="AB27" s="1087">
        <f>AB5</f>
        <v>0</v>
      </c>
      <c r="AC27" s="1088"/>
      <c r="AD27" s="831">
        <f>AD15-(AD26+AB5)</f>
        <v>353801</v>
      </c>
      <c r="AE27" s="831"/>
      <c r="AF27" s="955"/>
      <c r="AG27" s="17"/>
    </row>
    <row r="28" spans="1:34" ht="19.5" customHeight="1">
      <c r="A28" s="187">
        <v>4</v>
      </c>
      <c r="B28" s="296">
        <f t="shared" si="8"/>
        <v>42522</v>
      </c>
      <c r="C28" s="192">
        <f>IF('Emp.-Detail'!F26="yes",E12)+IF('Emp.-Detail'!F26="NO",0)</f>
        <v>0</v>
      </c>
      <c r="D28" s="192">
        <f>IF('Emp.-Detail'!F26="YES",K12)+IF('Emp.-Detail'!F26="NO",I12,0)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0</v>
      </c>
      <c r="P28" s="192">
        <v>0</v>
      </c>
      <c r="Q28" s="297">
        <f t="shared" si="11"/>
        <v>3595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IF('Emp.-Detail'!F26="yes",E13)+IF('Emp.-Detail'!F26="NO",0)</f>
        <v>0</v>
      </c>
      <c r="D29" s="192">
        <f>IF('Emp.-Detail'!F26="YES",K13)+IF('Emp.-Detail'!F26="NO",I13,0)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0</v>
      </c>
      <c r="P29" s="192">
        <v>0</v>
      </c>
      <c r="Q29" s="297">
        <f t="shared" si="11"/>
        <v>3595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IF('Emp.-Detail'!F26="yes",E14)+IF('Emp.-Detail'!F26="NO",0)</f>
        <v>0</v>
      </c>
      <c r="D30" s="192">
        <f>IF('Emp.-Detail'!F26="YES",K14)+IF('Emp.-Detail'!F26="NO",J14,0)</f>
        <v>2400</v>
      </c>
      <c r="E30" s="195"/>
      <c r="F30" s="287">
        <f t="shared" si="9"/>
        <v>2400</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0</v>
      </c>
      <c r="P30" s="192">
        <v>0</v>
      </c>
      <c r="Q30" s="297">
        <f t="shared" si="11"/>
        <v>5995</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IF('Emp.-Detail'!F26="yes",E15)+IF('Emp.-Detail'!F26="NO",0)</f>
        <v>0</v>
      </c>
      <c r="D31" s="192">
        <f>IF('Emp.-Detail'!F26="YES",K15)+IF('Emp.-Detail'!F26="NO",J15,0)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0</v>
      </c>
      <c r="P31" s="192">
        <v>0</v>
      </c>
      <c r="Q31" s="297">
        <f t="shared" si="11"/>
        <v>3595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IF('Emp.-Detail'!F26="yes",E16)+IF('Emp.-Detail'!F26="NO",0)</f>
        <v>0</v>
      </c>
      <c r="D32" s="192">
        <f>IF('Emp.-Detail'!F26="YES",K16)+IF('Emp.-Detail'!F26="NO",J16,0)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0</v>
      </c>
      <c r="P32" s="192">
        <v>0</v>
      </c>
      <c r="Q32" s="297">
        <f t="shared" si="11"/>
        <v>3595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IF('Emp.-Detail'!F26="yes",E17)+IF('Emp.-Detail'!F26="NO",0)</f>
        <v>0</v>
      </c>
      <c r="D33" s="192">
        <f>IF('Emp.-Detail'!F26="YES",K17)+IF('Emp.-Detail'!F26="NO",J17,0)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0</v>
      </c>
      <c r="P33" s="192">
        <v>0</v>
      </c>
      <c r="Q33" s="297">
        <f t="shared" si="11"/>
        <v>3595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IF('Emp.-Detail'!F26="yes",E18)+IF('Emp.-Detail'!F26="NO",0)</f>
        <v>0</v>
      </c>
      <c r="D34" s="192">
        <f>IF('Emp.-Detail'!F26="YES",K18)+IF('Emp.-Detail'!F26="NO",J18,0)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0</v>
      </c>
      <c r="P34" s="192">
        <v>0</v>
      </c>
      <c r="Q34" s="297">
        <f t="shared" si="11"/>
        <v>3595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IF('Emp.-Detail'!F26="yes",E19)+IF('Emp.-Detail'!F26="NO",0)</f>
        <v>0</v>
      </c>
      <c r="D35" s="192">
        <f>IF('Emp.-Detail'!F26="YES",K19)+IF('Emp.-Detail'!F26="NO",J19,0)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0</v>
      </c>
      <c r="P35" s="192">
        <v>0</v>
      </c>
      <c r="Q35" s="297">
        <f t="shared" si="11"/>
        <v>3595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IF('Emp.-Detail'!F26="yes",E20)+IF('Emp.-Detail'!F26="NO",0)</f>
        <v>0</v>
      </c>
      <c r="D36" s="192">
        <f>IF('Emp.-Detail'!F26="YES",K20)+IF('Emp.-Detail'!F26="NO",J20,0)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0</v>
      </c>
      <c r="P36" s="192">
        <v>0</v>
      </c>
      <c r="Q36" s="297">
        <f t="shared" si="11"/>
        <v>3595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4728</v>
      </c>
      <c r="E37" s="306"/>
      <c r="F37" s="307">
        <f t="shared" si="9"/>
        <v>4728</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0</v>
      </c>
      <c r="P37" s="288">
        <f t="shared" si="12"/>
        <v>251.9</v>
      </c>
      <c r="Q37" s="305">
        <f t="shared" si="12"/>
        <v>48119.9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394749</v>
      </c>
      <c r="D38" s="860"/>
      <c r="E38" s="309"/>
      <c r="F38" s="310"/>
      <c r="G38" s="1001" t="s">
        <v>13</v>
      </c>
      <c r="H38" s="1001"/>
      <c r="I38" s="1001"/>
      <c r="J38" s="860">
        <f>Q37</f>
        <v>48119.9</v>
      </c>
      <c r="K38" s="860"/>
      <c r="L38" s="860"/>
      <c r="M38" s="310"/>
      <c r="N38" s="998" t="s">
        <v>15</v>
      </c>
      <c r="O38" s="998"/>
      <c r="P38" s="860">
        <f>Q21-Q37</f>
        <v>346629.1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353801</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353800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10380</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5380</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108</v>
      </c>
      <c r="V43" s="949"/>
      <c r="W43" s="949"/>
      <c r="X43" s="1067" t="s">
        <v>84</v>
      </c>
      <c r="Y43" s="1067"/>
      <c r="Z43" s="1067"/>
      <c r="AA43" s="953">
        <f>ROUND((AD42*1%),0)</f>
        <v>54</v>
      </c>
      <c r="AB43" s="953"/>
      <c r="AC43" s="953"/>
      <c r="AD43" s="951">
        <f>U43+AA43</f>
        <v>162</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5542</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IF('Emp.-Detail'!F26="NO",0,ROUND(E21+K21,0))</f>
        <v>0</v>
      </c>
      <c r="Q46" s="943"/>
      <c r="R46" s="22"/>
      <c r="S46" s="1071" t="s">
        <v>87</v>
      </c>
      <c r="T46" s="1072"/>
      <c r="U46" s="1072"/>
      <c r="V46" s="1072"/>
      <c r="W46" s="1072"/>
      <c r="X46" s="1072"/>
      <c r="Y46" s="1072"/>
      <c r="Z46" s="1072"/>
      <c r="AA46" s="1072"/>
      <c r="AB46" s="1072"/>
      <c r="AC46" s="1072"/>
      <c r="AD46" s="796">
        <f>AD44-AD45</f>
        <v>5542</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0</v>
      </c>
      <c r="T49" s="1081"/>
      <c r="U49" s="1081"/>
      <c r="V49" s="1070">
        <f>SUM(O28:O30)</f>
        <v>0</v>
      </c>
      <c r="W49" s="1070"/>
      <c r="X49" s="1070"/>
      <c r="Y49" s="1070">
        <f>SUM(O31:O33)</f>
        <v>0</v>
      </c>
      <c r="Z49" s="1070"/>
      <c r="AA49" s="1070"/>
      <c r="AB49" s="951">
        <f>SUM(O34:O36)</f>
        <v>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5542</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 xml:space="preserve">MANGI LAL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394749</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394749</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394749</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 xml:space="preserve">MANGI LAL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AMPPD4396D</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7597440273</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394749</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'Emp.-Detail'!O26</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4728</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107337</v>
      </c>
      <c r="K69" s="788"/>
      <c r="L69" s="788"/>
      <c r="M69" s="776"/>
      <c r="N69" s="775">
        <f>SUM(O25:O27)</f>
        <v>0</v>
      </c>
      <c r="O69" s="776"/>
      <c r="P69" s="775">
        <f>N69</f>
        <v>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95461</v>
      </c>
      <c r="K70" s="788"/>
      <c r="L70" s="788"/>
      <c r="M70" s="776"/>
      <c r="N70" s="775">
        <f>SUM(O28:O30)</f>
        <v>0</v>
      </c>
      <c r="O70" s="776"/>
      <c r="P70" s="775">
        <f>N70</f>
        <v>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95576</v>
      </c>
      <c r="K71" s="788"/>
      <c r="L71" s="788"/>
      <c r="M71" s="776"/>
      <c r="N71" s="775">
        <f>SUM(O31:O33)</f>
        <v>0</v>
      </c>
      <c r="O71" s="776"/>
      <c r="P71" s="775">
        <f t="shared" ref="P71:P72" si="13">N71</f>
        <v>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96375</v>
      </c>
      <c r="K72" s="788"/>
      <c r="L72" s="788"/>
      <c r="M72" s="776"/>
      <c r="N72" s="775">
        <f>SUM(O34:O36)</f>
        <v>0</v>
      </c>
      <c r="O72" s="776"/>
      <c r="P72" s="775">
        <f t="shared" si="13"/>
        <v>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394749</v>
      </c>
      <c r="K73" s="808"/>
      <c r="L73" s="808"/>
      <c r="M73" s="809"/>
      <c r="N73" s="845">
        <f>SUM(N69:N72)</f>
        <v>0</v>
      </c>
      <c r="O73" s="809"/>
      <c r="P73" s="845">
        <f>SUM(P69:P72)</f>
        <v>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0</v>
      </c>
      <c r="E76" s="219"/>
      <c r="F76" s="219">
        <f>O26</f>
        <v>0</v>
      </c>
      <c r="G76" s="219">
        <f>O27</f>
        <v>0</v>
      </c>
      <c r="H76" s="219">
        <f>O28</f>
        <v>0</v>
      </c>
      <c r="I76" s="219">
        <f>O29</f>
        <v>0</v>
      </c>
      <c r="J76" s="219">
        <f>O30</f>
        <v>0</v>
      </c>
      <c r="K76" s="219"/>
      <c r="L76" s="219">
        <f>O31</f>
        <v>0</v>
      </c>
      <c r="M76" s="219">
        <f>O32</f>
        <v>0</v>
      </c>
      <c r="N76" s="219">
        <f>O33</f>
        <v>0</v>
      </c>
      <c r="O76" s="219">
        <f>O34</f>
        <v>0</v>
      </c>
      <c r="P76" s="219">
        <f>O35</f>
        <v>0</v>
      </c>
      <c r="Q76" s="220">
        <f>O36</f>
        <v>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40948</v>
      </c>
      <c r="AC81" s="1113"/>
      <c r="AD81" s="773">
        <f>AD26</f>
        <v>40948</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'Emp.-Detail'!N26</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'Emp.-Detail'!N26</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'Emp.-Detail'!N26</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'Emp.-Detail'!J26</f>
        <v>0</v>
      </c>
      <c r="C87" s="788"/>
      <c r="D87" s="776"/>
      <c r="E87" s="257"/>
      <c r="F87" s="1233" t="str">
        <f>'Emp.-Detail'!K26</f>
        <v>0</v>
      </c>
      <c r="G87" s="791"/>
      <c r="H87" s="791"/>
      <c r="I87" s="792"/>
      <c r="J87" s="810" t="str">
        <f>'Emp.-Detail'!L26</f>
        <v>00/00/0000</v>
      </c>
      <c r="K87" s="811"/>
      <c r="L87" s="811"/>
      <c r="M87" s="812"/>
      <c r="N87" s="1233" t="str">
        <f>'Emp.-Detail'!M26</f>
        <v>00</v>
      </c>
      <c r="O87" s="792"/>
      <c r="P87" s="793" t="str">
        <f>'Emp.-Detail'!N26</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40948</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353800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5380</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162</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5542</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5542</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394749</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394749</v>
      </c>
      <c r="P104" s="776"/>
      <c r="Q104" s="258">
        <f>O104</f>
        <v>394749</v>
      </c>
      <c r="R104" s="235"/>
      <c r="S104" s="254"/>
      <c r="T104" s="229" t="str">
        <f>'DDO '!L10</f>
        <v>PRINCIPAL</v>
      </c>
      <c r="U104" s="229"/>
      <c r="V104" s="780" t="s">
        <v>51</v>
      </c>
      <c r="W104" s="780"/>
      <c r="X104" s="780"/>
      <c r="Y104" s="780"/>
      <c r="Z104" s="770">
        <f>AD100</f>
        <v>5542</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FIVE  Thousand  FIVE  Hundred  FOURTY  TWO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394749</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394749</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394749</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9"/>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O52:P52"/>
    <mergeCell ref="S52:AC52"/>
    <mergeCell ref="AD52:AF52"/>
    <mergeCell ref="O50:P50"/>
    <mergeCell ref="Q50:Q55"/>
    <mergeCell ref="S50:AC50"/>
    <mergeCell ref="AD50:AF50"/>
    <mergeCell ref="A51:B51"/>
    <mergeCell ref="C51:D51"/>
    <mergeCell ref="I51:J51"/>
    <mergeCell ref="L51:N51"/>
    <mergeCell ref="O51:P51"/>
    <mergeCell ref="F50:H50"/>
    <mergeCell ref="F51:H51"/>
    <mergeCell ref="F52:J52"/>
    <mergeCell ref="A53:H53"/>
    <mergeCell ref="A54:H54"/>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A50:B50"/>
    <mergeCell ref="C50:D50"/>
    <mergeCell ref="I50:J50"/>
    <mergeCell ref="L50:N50"/>
    <mergeCell ref="S51:AC51"/>
    <mergeCell ref="AD51:AF51"/>
    <mergeCell ref="A52:B52"/>
    <mergeCell ref="C52:D52"/>
    <mergeCell ref="L52:N52"/>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98:Q98"/>
    <mergeCell ref="S98:AC98"/>
    <mergeCell ref="AD98:AE98"/>
    <mergeCell ref="A99:Q99"/>
    <mergeCell ref="S99:AC99"/>
    <mergeCell ref="AD99:AE99"/>
    <mergeCell ref="AD96:AE96"/>
    <mergeCell ref="A97:J97"/>
    <mergeCell ref="L97:M97"/>
    <mergeCell ref="N97:Q97"/>
    <mergeCell ref="S97:AC97"/>
    <mergeCell ref="AD97:AE97"/>
    <mergeCell ref="A100:L100"/>
    <mergeCell ref="M100:N100"/>
    <mergeCell ref="O100:P103"/>
    <mergeCell ref="Q100:Q103"/>
    <mergeCell ref="S100:AC100"/>
    <mergeCell ref="AD100:AE100"/>
    <mergeCell ref="A101:L101"/>
    <mergeCell ref="M101:N101"/>
    <mergeCell ref="S101:AE101"/>
    <mergeCell ref="A102:L102"/>
    <mergeCell ref="M110:P110"/>
    <mergeCell ref="S110:T110"/>
    <mergeCell ref="U110:W110"/>
    <mergeCell ref="D111:I111"/>
    <mergeCell ref="M102:N102"/>
    <mergeCell ref="S102:AE102"/>
    <mergeCell ref="A103:L103"/>
    <mergeCell ref="M103:N103"/>
    <mergeCell ref="T103:V103"/>
    <mergeCell ref="W103:Y103"/>
    <mergeCell ref="Z103:AB103"/>
    <mergeCell ref="AC103:AE103"/>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A1:D1"/>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J111:L111"/>
    <mergeCell ref="M111:N111"/>
    <mergeCell ref="A104:L104"/>
    <mergeCell ref="M104:N107"/>
    <mergeCell ref="O104:P10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23.xml><?xml version="1.0" encoding="utf-8"?>
<worksheet xmlns="http://schemas.openxmlformats.org/spreadsheetml/2006/main" xmlns:r="http://schemas.openxmlformats.org/officeDocument/2006/relationships">
  <dimension ref="A1:AJ150"/>
  <sheetViews>
    <sheetView view="pageBreakPreview" topLeftCell="A14" zoomScaleSheetLayoutView="100" workbookViewId="0">
      <selection activeCell="N26" sqref="N26"/>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51" t="s">
        <v>403</v>
      </c>
      <c r="B1" s="1251"/>
      <c r="C1" s="1251"/>
      <c r="D1" s="12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50"/>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KAMAL KISHOR RANKAWAT </v>
      </c>
      <c r="T3" s="538"/>
      <c r="U3" s="538"/>
      <c r="V3" s="538"/>
      <c r="W3" s="949" t="str">
        <f>P4</f>
        <v>LDC</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'Emp.-Detail'!B27</f>
        <v xml:space="preserve">KAMAL KISHOR RANKAWAT </v>
      </c>
      <c r="E4" s="949"/>
      <c r="F4" s="949"/>
      <c r="G4" s="949"/>
      <c r="H4" s="949"/>
      <c r="I4" s="854"/>
      <c r="J4" s="1185">
        <f>'Emp.-Detail'!A27</f>
        <v>19</v>
      </c>
      <c r="K4" s="1186"/>
      <c r="L4" s="1187"/>
      <c r="M4" s="982" t="s">
        <v>8</v>
      </c>
      <c r="N4" s="833"/>
      <c r="O4" s="833"/>
      <c r="P4" s="949" t="str">
        <f>'Emp.-Detail'!C27</f>
        <v>LDC</v>
      </c>
      <c r="Q4" s="950"/>
      <c r="R4" s="50"/>
      <c r="S4" s="1250" t="str">
        <f>D5</f>
        <v>AVUPR4488E</v>
      </c>
      <c r="T4" s="538"/>
      <c r="U4" s="538"/>
      <c r="V4" s="538"/>
      <c r="W4" s="959" t="str">
        <f>'Emp.-Detail'!H27</f>
        <v>51095015778</v>
      </c>
      <c r="X4" s="949"/>
      <c r="Y4" s="949"/>
      <c r="Z4" s="949"/>
      <c r="AA4" s="949" t="str">
        <f>'Emp.-Detail'!I27</f>
        <v>SBBJ, Sujangarh</v>
      </c>
      <c r="AB4" s="949"/>
      <c r="AC4" s="949"/>
      <c r="AD4" s="949"/>
      <c r="AE4" s="949"/>
      <c r="AF4" s="950"/>
      <c r="AG4" s="17"/>
    </row>
    <row r="5" spans="1:33" ht="19.5" customHeight="1" thickBot="1">
      <c r="A5" s="954" t="s">
        <v>135</v>
      </c>
      <c r="B5" s="833"/>
      <c r="C5" s="833"/>
      <c r="D5" s="949" t="str">
        <f>'Emp.-Detail'!D27</f>
        <v>AVUPR4488E</v>
      </c>
      <c r="E5" s="949"/>
      <c r="F5" s="949"/>
      <c r="G5" s="949"/>
      <c r="H5" s="949"/>
      <c r="I5" s="854"/>
      <c r="J5" s="1188"/>
      <c r="K5" s="1189"/>
      <c r="L5" s="1190"/>
      <c r="M5" s="982" t="s">
        <v>137</v>
      </c>
      <c r="N5" s="833"/>
      <c r="O5" s="833"/>
      <c r="P5" s="959">
        <f>'Emp.-Detail'!G27</f>
        <v>9828318460</v>
      </c>
      <c r="Q5" s="950"/>
      <c r="R5" s="50"/>
      <c r="S5" s="974" t="s">
        <v>203</v>
      </c>
      <c r="T5" s="975"/>
      <c r="U5" s="975"/>
      <c r="V5" s="975"/>
      <c r="W5" s="951">
        <f>SUM(Q9:Q20)</f>
        <v>318890</v>
      </c>
      <c r="X5" s="951"/>
      <c r="Y5" s="1248" t="s">
        <v>202</v>
      </c>
      <c r="Z5" s="1249"/>
      <c r="AA5" s="1088"/>
      <c r="AB5" s="951">
        <f>P46</f>
        <v>29433</v>
      </c>
      <c r="AC5" s="949"/>
      <c r="AD5" s="941">
        <f>W5+AB5</f>
        <v>348323</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348323</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348323</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348323</v>
      </c>
      <c r="AE8" s="942"/>
      <c r="AF8" s="943"/>
      <c r="AG8" s="17"/>
    </row>
    <row r="9" spans="1:33" ht="19.5" customHeight="1">
      <c r="A9" s="285">
        <v>1</v>
      </c>
      <c r="B9" s="286">
        <v>42430</v>
      </c>
      <c r="C9" s="190">
        <f>'Emp.-Detail'!E27</f>
        <v>10450</v>
      </c>
      <c r="D9" s="190">
        <f>ROUND(C9*119%,0)</f>
        <v>12436</v>
      </c>
      <c r="E9" s="191">
        <f>ROUND((C9+D9)*10%,0)</f>
        <v>2289</v>
      </c>
      <c r="F9" s="190">
        <f>ROUND(C9*10%,0)</f>
        <v>1045</v>
      </c>
      <c r="G9" s="190">
        <v>0</v>
      </c>
      <c r="H9" s="190">
        <v>0</v>
      </c>
      <c r="I9" s="192">
        <f>ROUND(C9*6%,0)*3</f>
        <v>1881</v>
      </c>
      <c r="J9" s="190">
        <v>0</v>
      </c>
      <c r="K9" s="190">
        <f>ROUND((I9+J9)*10%,0)</f>
        <v>188</v>
      </c>
      <c r="L9" s="190">
        <v>11756</v>
      </c>
      <c r="M9" s="190">
        <v>0</v>
      </c>
      <c r="N9" s="190">
        <v>0</v>
      </c>
      <c r="O9" s="190">
        <v>0</v>
      </c>
      <c r="P9" s="193">
        <v>0</v>
      </c>
      <c r="Q9" s="290">
        <f>C9+D9+F9+G9+H9+I9+J9+L9+M9+N9+O9</f>
        <v>37568</v>
      </c>
      <c r="R9" s="282"/>
      <c r="S9" s="984" t="s">
        <v>144</v>
      </c>
      <c r="T9" s="985"/>
      <c r="U9" s="985"/>
      <c r="V9" s="985"/>
      <c r="W9" s="985"/>
      <c r="X9" s="985"/>
      <c r="Y9" s="985"/>
      <c r="Z9" s="971" t="s">
        <v>18</v>
      </c>
      <c r="AA9" s="971"/>
      <c r="AB9" s="967">
        <f>O49</f>
        <v>0</v>
      </c>
      <c r="AC9" s="968"/>
      <c r="AD9" s="977">
        <f>AD8+AB9</f>
        <v>348323</v>
      </c>
      <c r="AE9" s="978"/>
      <c r="AF9" s="979"/>
      <c r="AG9" s="17"/>
    </row>
    <row r="10" spans="1:33" ht="19.5" customHeight="1">
      <c r="A10" s="187">
        <v>2</v>
      </c>
      <c r="B10" s="286">
        <v>42461</v>
      </c>
      <c r="C10" s="192">
        <f>C9</f>
        <v>10450</v>
      </c>
      <c r="D10" s="190">
        <f>ROUND(C10*125%,0)</f>
        <v>13063</v>
      </c>
      <c r="E10" s="191">
        <f t="shared" ref="E10:E20" si="0">ROUND((C10+D10)*10%,0)</f>
        <v>2351</v>
      </c>
      <c r="F10" s="190">
        <f t="shared" ref="F10:F20" si="1">ROUND(C10*10%,0)</f>
        <v>1045</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24558</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10450</v>
      </c>
      <c r="D11" s="190">
        <f t="shared" ref="D11:D15" si="4">ROUND(C11*125%,0)</f>
        <v>13063</v>
      </c>
      <c r="E11" s="191">
        <f t="shared" si="0"/>
        <v>2351</v>
      </c>
      <c r="F11" s="190">
        <f t="shared" si="1"/>
        <v>1045</v>
      </c>
      <c r="G11" s="192">
        <f t="shared" ref="G11:H20" si="5">G10</f>
        <v>0</v>
      </c>
      <c r="H11" s="192">
        <f t="shared" si="5"/>
        <v>0</v>
      </c>
      <c r="I11" s="192">
        <v>0</v>
      </c>
      <c r="J11" s="190">
        <v>0</v>
      </c>
      <c r="K11" s="190">
        <f t="shared" si="2"/>
        <v>0</v>
      </c>
      <c r="L11" s="190">
        <v>0</v>
      </c>
      <c r="M11" s="190">
        <v>0</v>
      </c>
      <c r="N11" s="190">
        <v>0</v>
      </c>
      <c r="O11" s="190">
        <v>0</v>
      </c>
      <c r="P11" s="193">
        <v>0</v>
      </c>
      <c r="Q11" s="290">
        <f t="shared" si="3"/>
        <v>24558</v>
      </c>
      <c r="R11" s="50"/>
      <c r="S11" s="292" t="s">
        <v>146</v>
      </c>
      <c r="T11" s="958">
        <f>O50</f>
        <v>0</v>
      </c>
      <c r="U11" s="948"/>
      <c r="V11" s="980">
        <f>O51</f>
        <v>0</v>
      </c>
      <c r="W11" s="958"/>
      <c r="X11" s="948"/>
      <c r="Y11" s="980">
        <f>Q49</f>
        <v>0</v>
      </c>
      <c r="Z11" s="958"/>
      <c r="AA11" s="948"/>
      <c r="AB11" s="980">
        <f>T11+V11+Y11</f>
        <v>0</v>
      </c>
      <c r="AC11" s="948"/>
      <c r="AD11" s="941">
        <f>AD9-AB11</f>
        <v>348323</v>
      </c>
      <c r="AE11" s="942"/>
      <c r="AF11" s="943"/>
      <c r="AG11" s="17"/>
    </row>
    <row r="12" spans="1:33" ht="19.5" customHeight="1">
      <c r="A12" s="187">
        <v>4</v>
      </c>
      <c r="B12" s="286">
        <v>42522</v>
      </c>
      <c r="C12" s="192">
        <f>C11</f>
        <v>10450</v>
      </c>
      <c r="D12" s="190">
        <f t="shared" si="4"/>
        <v>13063</v>
      </c>
      <c r="E12" s="191">
        <f t="shared" si="0"/>
        <v>2351</v>
      </c>
      <c r="F12" s="190">
        <f t="shared" si="1"/>
        <v>1045</v>
      </c>
      <c r="G12" s="192">
        <f t="shared" si="5"/>
        <v>0</v>
      </c>
      <c r="H12" s="192">
        <f t="shared" si="5"/>
        <v>0</v>
      </c>
      <c r="I12" s="192">
        <v>0</v>
      </c>
      <c r="J12" s="190">
        <v>0</v>
      </c>
      <c r="K12" s="190">
        <f t="shared" si="2"/>
        <v>0</v>
      </c>
      <c r="L12" s="190">
        <v>0</v>
      </c>
      <c r="M12" s="190">
        <v>0</v>
      </c>
      <c r="N12" s="190">
        <v>0</v>
      </c>
      <c r="O12" s="190">
        <v>0</v>
      </c>
      <c r="P12" s="193">
        <v>0</v>
      </c>
      <c r="Q12" s="290">
        <f t="shared" si="3"/>
        <v>24558</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10770</v>
      </c>
      <c r="D13" s="190">
        <f t="shared" si="4"/>
        <v>13463</v>
      </c>
      <c r="E13" s="191">
        <f t="shared" si="0"/>
        <v>2423</v>
      </c>
      <c r="F13" s="190">
        <f t="shared" si="1"/>
        <v>1077</v>
      </c>
      <c r="G13" s="192">
        <f t="shared" si="5"/>
        <v>0</v>
      </c>
      <c r="H13" s="192">
        <f t="shared" si="5"/>
        <v>0</v>
      </c>
      <c r="I13" s="192">
        <v>0</v>
      </c>
      <c r="J13" s="190">
        <v>0</v>
      </c>
      <c r="K13" s="190">
        <f t="shared" si="2"/>
        <v>0</v>
      </c>
      <c r="L13" s="190">
        <v>0</v>
      </c>
      <c r="M13" s="190">
        <v>0</v>
      </c>
      <c r="N13" s="190">
        <v>0</v>
      </c>
      <c r="O13" s="190">
        <v>0</v>
      </c>
      <c r="P13" s="193">
        <v>0</v>
      </c>
      <c r="Q13" s="290">
        <f t="shared" si="3"/>
        <v>25310</v>
      </c>
      <c r="R13" s="70"/>
      <c r="S13" s="991">
        <f>O52</f>
        <v>0</v>
      </c>
      <c r="T13" s="948"/>
      <c r="U13" s="980">
        <f>O53</f>
        <v>0</v>
      </c>
      <c r="V13" s="948"/>
      <c r="W13" s="980">
        <f>O54</f>
        <v>0</v>
      </c>
      <c r="X13" s="948"/>
      <c r="Y13" s="980">
        <f>O55</f>
        <v>0</v>
      </c>
      <c r="Z13" s="958"/>
      <c r="AA13" s="958"/>
      <c r="AB13" s="951">
        <f>SUM(S13:AA13)</f>
        <v>0</v>
      </c>
      <c r="AC13" s="951"/>
      <c r="AD13" s="941">
        <f>AD11+AB13</f>
        <v>348323</v>
      </c>
      <c r="AE13" s="965"/>
      <c r="AF13" s="966"/>
      <c r="AG13" s="17"/>
    </row>
    <row r="14" spans="1:33" ht="19.5" customHeight="1">
      <c r="A14" s="187">
        <v>6</v>
      </c>
      <c r="B14" s="286">
        <v>42583</v>
      </c>
      <c r="C14" s="192">
        <f t="shared" ref="C14:C20" si="6">C13</f>
        <v>10770</v>
      </c>
      <c r="D14" s="190">
        <f>ROUND(C14*125%,0)</f>
        <v>13463</v>
      </c>
      <c r="E14" s="191">
        <f t="shared" si="0"/>
        <v>2423</v>
      </c>
      <c r="F14" s="190">
        <f t="shared" si="1"/>
        <v>1077</v>
      </c>
      <c r="G14" s="192">
        <f t="shared" si="5"/>
        <v>0</v>
      </c>
      <c r="H14" s="192">
        <f t="shared" si="5"/>
        <v>0</v>
      </c>
      <c r="I14" s="192">
        <v>0</v>
      </c>
      <c r="J14" s="192">
        <f>ROUND(C13*6%,0)*3</f>
        <v>1938</v>
      </c>
      <c r="K14" s="190">
        <f t="shared" si="2"/>
        <v>194</v>
      </c>
      <c r="L14" s="190">
        <v>0</v>
      </c>
      <c r="M14" s="190">
        <v>0</v>
      </c>
      <c r="N14" s="190">
        <v>0</v>
      </c>
      <c r="O14" s="190">
        <v>0</v>
      </c>
      <c r="P14" s="193">
        <v>0</v>
      </c>
      <c r="Q14" s="290">
        <f t="shared" si="3"/>
        <v>27248</v>
      </c>
      <c r="R14" s="50"/>
      <c r="S14" s="954" t="s">
        <v>19</v>
      </c>
      <c r="T14" s="833"/>
      <c r="U14" s="833"/>
      <c r="V14" s="833"/>
      <c r="W14" s="833"/>
      <c r="X14" s="833"/>
      <c r="Y14" s="833"/>
      <c r="Z14" s="833"/>
      <c r="AA14" s="951">
        <f>I55</f>
        <v>0</v>
      </c>
      <c r="AB14" s="951"/>
      <c r="AC14" s="951"/>
      <c r="AD14" s="941">
        <f>AD13+AA14</f>
        <v>348323</v>
      </c>
      <c r="AE14" s="942"/>
      <c r="AF14" s="943"/>
      <c r="AG14" s="17"/>
    </row>
    <row r="15" spans="1:33" ht="19.5" customHeight="1">
      <c r="A15" s="187">
        <v>7</v>
      </c>
      <c r="B15" s="286">
        <v>42614</v>
      </c>
      <c r="C15" s="192">
        <f t="shared" si="6"/>
        <v>10770</v>
      </c>
      <c r="D15" s="190">
        <f t="shared" si="4"/>
        <v>13463</v>
      </c>
      <c r="E15" s="191">
        <f t="shared" si="0"/>
        <v>2423</v>
      </c>
      <c r="F15" s="190">
        <f t="shared" si="1"/>
        <v>1077</v>
      </c>
      <c r="G15" s="192">
        <f t="shared" si="5"/>
        <v>0</v>
      </c>
      <c r="H15" s="192">
        <f t="shared" si="5"/>
        <v>0</v>
      </c>
      <c r="I15" s="192">
        <v>0</v>
      </c>
      <c r="J15" s="192">
        <v>0</v>
      </c>
      <c r="K15" s="190">
        <f t="shared" si="2"/>
        <v>0</v>
      </c>
      <c r="L15" s="190">
        <v>0</v>
      </c>
      <c r="M15" s="190">
        <v>0</v>
      </c>
      <c r="N15" s="190">
        <v>0</v>
      </c>
      <c r="O15" s="190">
        <v>0</v>
      </c>
      <c r="P15" s="193">
        <v>0</v>
      </c>
      <c r="Q15" s="290">
        <f t="shared" si="3"/>
        <v>25310</v>
      </c>
      <c r="R15" s="50"/>
      <c r="S15" s="992" t="s">
        <v>20</v>
      </c>
      <c r="T15" s="993"/>
      <c r="U15" s="993"/>
      <c r="V15" s="993"/>
      <c r="W15" s="993"/>
      <c r="X15" s="993"/>
      <c r="Y15" s="993"/>
      <c r="Z15" s="993"/>
      <c r="AA15" s="993"/>
      <c r="AB15" s="993"/>
      <c r="AC15" s="993"/>
      <c r="AD15" s="941">
        <f>AD14</f>
        <v>348323</v>
      </c>
      <c r="AE15" s="942"/>
      <c r="AF15" s="943"/>
      <c r="AG15" s="17"/>
    </row>
    <row r="16" spans="1:33" ht="19.5" customHeight="1">
      <c r="A16" s="187">
        <v>8</v>
      </c>
      <c r="B16" s="286">
        <v>42644</v>
      </c>
      <c r="C16" s="192">
        <f t="shared" si="6"/>
        <v>10770</v>
      </c>
      <c r="D16" s="190">
        <f>ROUND(C16*131%,0)</f>
        <v>14109</v>
      </c>
      <c r="E16" s="191">
        <f t="shared" si="0"/>
        <v>2488</v>
      </c>
      <c r="F16" s="190">
        <f t="shared" si="1"/>
        <v>1077</v>
      </c>
      <c r="G16" s="192">
        <f t="shared" si="5"/>
        <v>0</v>
      </c>
      <c r="H16" s="192">
        <f t="shared" si="5"/>
        <v>0</v>
      </c>
      <c r="I16" s="192">
        <v>0</v>
      </c>
      <c r="J16" s="192">
        <v>0</v>
      </c>
      <c r="K16" s="190">
        <f t="shared" si="2"/>
        <v>0</v>
      </c>
      <c r="L16" s="190">
        <v>0</v>
      </c>
      <c r="M16" s="190">
        <v>0</v>
      </c>
      <c r="N16" s="190">
        <v>0</v>
      </c>
      <c r="O16" s="190">
        <v>0</v>
      </c>
      <c r="P16" s="193">
        <v>0</v>
      </c>
      <c r="Q16" s="290">
        <f t="shared" si="3"/>
        <v>25956</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10770</v>
      </c>
      <c r="D17" s="190">
        <f>ROUND(C17*131%,0)</f>
        <v>14109</v>
      </c>
      <c r="E17" s="191">
        <f t="shared" si="0"/>
        <v>2488</v>
      </c>
      <c r="F17" s="190">
        <f t="shared" si="1"/>
        <v>1077</v>
      </c>
      <c r="G17" s="192">
        <f t="shared" si="5"/>
        <v>0</v>
      </c>
      <c r="H17" s="192">
        <f t="shared" si="5"/>
        <v>0</v>
      </c>
      <c r="I17" s="192">
        <v>0</v>
      </c>
      <c r="J17" s="192">
        <v>0</v>
      </c>
      <c r="K17" s="190">
        <f t="shared" si="2"/>
        <v>0</v>
      </c>
      <c r="L17" s="190">
        <v>0</v>
      </c>
      <c r="M17" s="190">
        <v>0</v>
      </c>
      <c r="N17" s="190">
        <v>0</v>
      </c>
      <c r="O17" s="190">
        <v>0</v>
      </c>
      <c r="P17" s="193">
        <v>0</v>
      </c>
      <c r="Q17" s="290">
        <f t="shared" si="3"/>
        <v>25956</v>
      </c>
      <c r="R17" s="50"/>
      <c r="S17" s="954" t="s">
        <v>157</v>
      </c>
      <c r="T17" s="833"/>
      <c r="U17" s="833"/>
      <c r="V17" s="951">
        <f>IF('Emp.-Detail'!F27="NO",F37,0)</f>
        <v>0</v>
      </c>
      <c r="W17" s="951"/>
      <c r="X17" s="833" t="s">
        <v>167</v>
      </c>
      <c r="Y17" s="833"/>
      <c r="Z17" s="833"/>
      <c r="AA17" s="833"/>
      <c r="AB17" s="833"/>
      <c r="AC17" s="833"/>
      <c r="AD17" s="831">
        <f>F45</f>
        <v>0</v>
      </c>
      <c r="AE17" s="831"/>
      <c r="AF17" s="955"/>
      <c r="AG17" s="17"/>
    </row>
    <row r="18" spans="1:34" ht="19.5" customHeight="1">
      <c r="A18" s="187">
        <v>10</v>
      </c>
      <c r="B18" s="286">
        <v>42705</v>
      </c>
      <c r="C18" s="192">
        <f t="shared" si="6"/>
        <v>10770</v>
      </c>
      <c r="D18" s="190">
        <f>ROUND(C18*131%,0)</f>
        <v>14109</v>
      </c>
      <c r="E18" s="191">
        <f t="shared" si="0"/>
        <v>2488</v>
      </c>
      <c r="F18" s="190">
        <f t="shared" si="1"/>
        <v>1077</v>
      </c>
      <c r="G18" s="192">
        <f t="shared" si="5"/>
        <v>0</v>
      </c>
      <c r="H18" s="192">
        <f t="shared" si="5"/>
        <v>0</v>
      </c>
      <c r="I18" s="192">
        <v>0</v>
      </c>
      <c r="J18" s="192">
        <v>0</v>
      </c>
      <c r="K18" s="190">
        <f t="shared" si="2"/>
        <v>0</v>
      </c>
      <c r="L18" s="190">
        <v>0</v>
      </c>
      <c r="M18" s="190">
        <v>0</v>
      </c>
      <c r="N18" s="190">
        <v>0</v>
      </c>
      <c r="O18" s="190">
        <v>0</v>
      </c>
      <c r="P18" s="193">
        <v>0</v>
      </c>
      <c r="Q18" s="290">
        <f t="shared" si="3"/>
        <v>25956</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10770</v>
      </c>
      <c r="D19" s="190">
        <f>ROUND(C19*131%,0)</f>
        <v>14109</v>
      </c>
      <c r="E19" s="191">
        <f t="shared" si="0"/>
        <v>2488</v>
      </c>
      <c r="F19" s="190">
        <f t="shared" si="1"/>
        <v>1077</v>
      </c>
      <c r="G19" s="192">
        <f t="shared" si="5"/>
        <v>0</v>
      </c>
      <c r="H19" s="192">
        <f t="shared" si="5"/>
        <v>0</v>
      </c>
      <c r="I19" s="192">
        <v>0</v>
      </c>
      <c r="J19" s="192">
        <v>0</v>
      </c>
      <c r="K19" s="190">
        <f t="shared" si="2"/>
        <v>0</v>
      </c>
      <c r="L19" s="190">
        <v>0</v>
      </c>
      <c r="M19" s="190">
        <v>0</v>
      </c>
      <c r="N19" s="190">
        <v>0</v>
      </c>
      <c r="O19" s="190">
        <v>0</v>
      </c>
      <c r="P19" s="193">
        <v>0</v>
      </c>
      <c r="Q19" s="290">
        <f t="shared" si="3"/>
        <v>25956</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10770</v>
      </c>
      <c r="D20" s="190">
        <f>ROUND(C20*131%,0)</f>
        <v>14109</v>
      </c>
      <c r="E20" s="191">
        <f t="shared" si="0"/>
        <v>2488</v>
      </c>
      <c r="F20" s="190">
        <f t="shared" si="1"/>
        <v>1077</v>
      </c>
      <c r="G20" s="192">
        <f t="shared" si="5"/>
        <v>0</v>
      </c>
      <c r="H20" s="192">
        <f t="shared" si="5"/>
        <v>0</v>
      </c>
      <c r="I20" s="192">
        <v>0</v>
      </c>
      <c r="J20" s="192">
        <v>0</v>
      </c>
      <c r="K20" s="190">
        <f t="shared" si="2"/>
        <v>0</v>
      </c>
      <c r="L20" s="190">
        <v>0</v>
      </c>
      <c r="M20" s="190">
        <v>0</v>
      </c>
      <c r="N20" s="190">
        <v>0</v>
      </c>
      <c r="O20" s="190">
        <v>0</v>
      </c>
      <c r="P20" s="193">
        <v>0</v>
      </c>
      <c r="Q20" s="290">
        <f t="shared" si="3"/>
        <v>25956</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127960</v>
      </c>
      <c r="D21" s="287">
        <f>SUM(D9:D20)</f>
        <v>162559</v>
      </c>
      <c r="E21" s="288">
        <f>SUM(E9:E20)</f>
        <v>29051</v>
      </c>
      <c r="F21" s="287">
        <f>SUM(F9:F20)</f>
        <v>12796</v>
      </c>
      <c r="G21" s="287">
        <f t="shared" si="7"/>
        <v>0</v>
      </c>
      <c r="H21" s="287">
        <f>SUM(H9:H20)</f>
        <v>0</v>
      </c>
      <c r="I21" s="287">
        <f t="shared" si="7"/>
        <v>1881</v>
      </c>
      <c r="J21" s="287">
        <f t="shared" si="7"/>
        <v>1938</v>
      </c>
      <c r="K21" s="287">
        <f>SUM(K9:K20)</f>
        <v>382</v>
      </c>
      <c r="L21" s="287">
        <f t="shared" si="7"/>
        <v>11756</v>
      </c>
      <c r="M21" s="287">
        <f t="shared" si="7"/>
        <v>0</v>
      </c>
      <c r="N21" s="287">
        <f t="shared" si="7"/>
        <v>0</v>
      </c>
      <c r="O21" s="287">
        <f>SUM(O9:O20)</f>
        <v>0</v>
      </c>
      <c r="P21" s="289">
        <f>SUM(P9:P20)</f>
        <v>0</v>
      </c>
      <c r="Q21" s="84">
        <f>SUM(Q9:Q20)</f>
        <v>318890</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IF('Emp.-Detail'!F27="yes",E9)+IF('Emp.-Detail'!F27="NO",0)</f>
        <v>2289</v>
      </c>
      <c r="D25" s="192">
        <f>IF('Emp.-Detail'!F27="YES",K9)+IF('Emp.-Detail'!F27="NO",I9,0)</f>
        <v>188</v>
      </c>
      <c r="E25" s="195"/>
      <c r="F25" s="287">
        <f>SUM(C25:D25)</f>
        <v>2477</v>
      </c>
      <c r="G25" s="192">
        <v>0</v>
      </c>
      <c r="H25" s="194">
        <v>0</v>
      </c>
      <c r="I25" s="192">
        <v>3000</v>
      </c>
      <c r="J25" s="195">
        <v>0</v>
      </c>
      <c r="K25" s="195"/>
      <c r="L25" s="195">
        <v>0</v>
      </c>
      <c r="M25" s="196">
        <v>0</v>
      </c>
      <c r="N25" s="196">
        <v>0</v>
      </c>
      <c r="O25" s="196">
        <v>0</v>
      </c>
      <c r="P25" s="192">
        <v>0</v>
      </c>
      <c r="Q25" s="297">
        <f>SUM(F25:P25)</f>
        <v>5477</v>
      </c>
      <c r="R25" s="50"/>
      <c r="S25" s="1084" t="s">
        <v>166</v>
      </c>
      <c r="T25" s="981"/>
      <c r="U25" s="982"/>
      <c r="V25" s="951">
        <f>F44</f>
        <v>0</v>
      </c>
      <c r="W25" s="951"/>
      <c r="X25" s="956" t="s">
        <v>175</v>
      </c>
      <c r="Y25" s="956"/>
      <c r="Z25" s="956"/>
      <c r="AA25" s="956"/>
      <c r="AB25" s="956"/>
      <c r="AC25" s="956"/>
      <c r="AD25" s="831">
        <f>P46</f>
        <v>29433</v>
      </c>
      <c r="AE25" s="831"/>
      <c r="AF25" s="955"/>
      <c r="AG25" s="17"/>
      <c r="AH25" s="2"/>
    </row>
    <row r="26" spans="1:34" ht="19.5" customHeight="1">
      <c r="A26" s="187">
        <v>2</v>
      </c>
      <c r="B26" s="296">
        <f t="shared" ref="B26:B36" si="8">B10</f>
        <v>42461</v>
      </c>
      <c r="C26" s="192">
        <f>IF('Emp.-Detail'!F27="yes",E10)+IF('Emp.-Detail'!F27="NO",0)</f>
        <v>2351</v>
      </c>
      <c r="D26" s="192">
        <f>IF('Emp.-Detail'!F27="YES",K10)+IF('Emp.-Detail'!F27="NO",I10,0)</f>
        <v>0</v>
      </c>
      <c r="E26" s="195"/>
      <c r="F26" s="287">
        <f t="shared" ref="F26:F37" si="9">SUM(C26:D26)</f>
        <v>2351</v>
      </c>
      <c r="G26" s="192">
        <f t="shared" ref="G26:O36" si="10">G25</f>
        <v>0</v>
      </c>
      <c r="H26" s="194">
        <f>H25</f>
        <v>0</v>
      </c>
      <c r="I26" s="192">
        <f t="shared" si="10"/>
        <v>3000</v>
      </c>
      <c r="J26" s="195">
        <f t="shared" si="10"/>
        <v>0</v>
      </c>
      <c r="K26" s="195"/>
      <c r="L26" s="195">
        <f t="shared" si="10"/>
        <v>0</v>
      </c>
      <c r="M26" s="196">
        <f t="shared" si="10"/>
        <v>0</v>
      </c>
      <c r="N26" s="196">
        <f t="shared" si="10"/>
        <v>0</v>
      </c>
      <c r="O26" s="196">
        <f t="shared" si="10"/>
        <v>0</v>
      </c>
      <c r="P26" s="194">
        <f>'Emp.-Detail'!AB9+'Emp.-Detail'!AB9*14.5%</f>
        <v>251.9</v>
      </c>
      <c r="Q26" s="297">
        <f t="shared" ref="Q26:Q36" si="11">SUM(F26:P26)</f>
        <v>5602.9</v>
      </c>
      <c r="R26" s="50"/>
      <c r="S26" s="1089" t="s">
        <v>279</v>
      </c>
      <c r="T26" s="1090"/>
      <c r="U26" s="1090"/>
      <c r="V26" s="1090"/>
      <c r="W26" s="1090"/>
      <c r="X26" s="1090"/>
      <c r="Y26" s="1090"/>
      <c r="Z26" s="1090"/>
      <c r="AA26" s="1091"/>
      <c r="AB26" s="942">
        <f>SUM(V17:V25)+SUM(AD17:AD25)</f>
        <v>65653</v>
      </c>
      <c r="AC26" s="957"/>
      <c r="AD26" s="1135">
        <f>IF(AB26&lt;=150000,AB26,150000)+AD25</f>
        <v>95086</v>
      </c>
      <c r="AE26" s="1136"/>
      <c r="AF26" s="1137"/>
      <c r="AG26" s="17"/>
    </row>
    <row r="27" spans="1:34" ht="19.5" customHeight="1">
      <c r="A27" s="187">
        <v>3</v>
      </c>
      <c r="B27" s="296">
        <f t="shared" si="8"/>
        <v>42491</v>
      </c>
      <c r="C27" s="192">
        <f>IF('Emp.-Detail'!F27="yes",E11)+IF('Emp.-Detail'!F27="NO",0)</f>
        <v>2351</v>
      </c>
      <c r="D27" s="192">
        <f>IF('Emp.-Detail'!F27="YES",K11)+IF('Emp.-Detail'!F27="NO",I11,0)</f>
        <v>0</v>
      </c>
      <c r="E27" s="195"/>
      <c r="F27" s="287">
        <f t="shared" si="9"/>
        <v>2351</v>
      </c>
      <c r="G27" s="192">
        <f t="shared" si="10"/>
        <v>0</v>
      </c>
      <c r="H27" s="194">
        <f t="shared" si="10"/>
        <v>0</v>
      </c>
      <c r="I27" s="192">
        <f t="shared" si="10"/>
        <v>3000</v>
      </c>
      <c r="J27" s="195">
        <f t="shared" si="10"/>
        <v>0</v>
      </c>
      <c r="K27" s="195"/>
      <c r="L27" s="195">
        <f t="shared" si="10"/>
        <v>0</v>
      </c>
      <c r="M27" s="196">
        <f t="shared" si="10"/>
        <v>0</v>
      </c>
      <c r="N27" s="196">
        <f t="shared" si="10"/>
        <v>0</v>
      </c>
      <c r="O27" s="196">
        <f t="shared" si="10"/>
        <v>0</v>
      </c>
      <c r="P27" s="192">
        <v>0</v>
      </c>
      <c r="Q27" s="297">
        <f t="shared" si="11"/>
        <v>5351</v>
      </c>
      <c r="R27" s="50"/>
      <c r="S27" s="1085" t="s">
        <v>592</v>
      </c>
      <c r="T27" s="1086"/>
      <c r="U27" s="1086"/>
      <c r="V27" s="1086"/>
      <c r="W27" s="1086"/>
      <c r="X27" s="1086"/>
      <c r="Y27" s="1086"/>
      <c r="Z27" s="1086"/>
      <c r="AA27" s="1086"/>
      <c r="AB27" s="1087">
        <f>AB5</f>
        <v>29433</v>
      </c>
      <c r="AC27" s="1088"/>
      <c r="AD27" s="831">
        <f>AD15-(AD26+AB5)</f>
        <v>223804</v>
      </c>
      <c r="AE27" s="831"/>
      <c r="AF27" s="955"/>
      <c r="AG27" s="17"/>
    </row>
    <row r="28" spans="1:34" ht="19.5" customHeight="1">
      <c r="A28" s="187">
        <v>4</v>
      </c>
      <c r="B28" s="296">
        <f t="shared" si="8"/>
        <v>42522</v>
      </c>
      <c r="C28" s="192">
        <f>IF('Emp.-Detail'!F27="yes",E12)+IF('Emp.-Detail'!F27="NO",0)</f>
        <v>2351</v>
      </c>
      <c r="D28" s="192">
        <f>IF('Emp.-Detail'!F27="YES",K12)+IF('Emp.-Detail'!F27="NO",I12,0)</f>
        <v>0</v>
      </c>
      <c r="E28" s="195"/>
      <c r="F28" s="287">
        <f t="shared" si="9"/>
        <v>2351</v>
      </c>
      <c r="G28" s="192">
        <f t="shared" si="10"/>
        <v>0</v>
      </c>
      <c r="H28" s="194">
        <f t="shared" si="10"/>
        <v>0</v>
      </c>
      <c r="I28" s="192">
        <f t="shared" si="10"/>
        <v>3000</v>
      </c>
      <c r="J28" s="195">
        <f t="shared" si="10"/>
        <v>0</v>
      </c>
      <c r="K28" s="195"/>
      <c r="L28" s="195">
        <f t="shared" si="10"/>
        <v>0</v>
      </c>
      <c r="M28" s="196">
        <f t="shared" si="10"/>
        <v>0</v>
      </c>
      <c r="N28" s="196">
        <f t="shared" si="10"/>
        <v>0</v>
      </c>
      <c r="O28" s="196">
        <f t="shared" si="10"/>
        <v>0</v>
      </c>
      <c r="P28" s="192">
        <v>0</v>
      </c>
      <c r="Q28" s="297">
        <f t="shared" si="11"/>
        <v>5351</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IF('Emp.-Detail'!F27="yes",E13)+IF('Emp.-Detail'!F27="NO",0)</f>
        <v>2423</v>
      </c>
      <c r="D29" s="192">
        <f>IF('Emp.-Detail'!F27="YES",K13)+IF('Emp.-Detail'!F27="NO",I13,0)</f>
        <v>0</v>
      </c>
      <c r="E29" s="195"/>
      <c r="F29" s="287">
        <f t="shared" si="9"/>
        <v>2423</v>
      </c>
      <c r="G29" s="192">
        <f t="shared" si="10"/>
        <v>0</v>
      </c>
      <c r="H29" s="194">
        <f t="shared" si="10"/>
        <v>0</v>
      </c>
      <c r="I29" s="192">
        <f t="shared" si="10"/>
        <v>3000</v>
      </c>
      <c r="J29" s="195">
        <f t="shared" si="10"/>
        <v>0</v>
      </c>
      <c r="K29" s="195"/>
      <c r="L29" s="195">
        <f t="shared" si="10"/>
        <v>0</v>
      </c>
      <c r="M29" s="196">
        <f t="shared" si="10"/>
        <v>0</v>
      </c>
      <c r="N29" s="196">
        <f t="shared" si="10"/>
        <v>0</v>
      </c>
      <c r="O29" s="196">
        <f t="shared" si="10"/>
        <v>0</v>
      </c>
      <c r="P29" s="192">
        <v>0</v>
      </c>
      <c r="Q29" s="297">
        <f t="shared" si="11"/>
        <v>5423</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IF('Emp.-Detail'!F27="yes",E14)+IF('Emp.-Detail'!F27="NO",0)</f>
        <v>2423</v>
      </c>
      <c r="D30" s="192">
        <f>IF('Emp.-Detail'!F27="YES",K14)+IF('Emp.-Detail'!F27="NO",J14,0)</f>
        <v>194</v>
      </c>
      <c r="E30" s="195"/>
      <c r="F30" s="287">
        <f t="shared" si="9"/>
        <v>2617</v>
      </c>
      <c r="G30" s="192">
        <f t="shared" si="10"/>
        <v>0</v>
      </c>
      <c r="H30" s="194">
        <f t="shared" si="10"/>
        <v>0</v>
      </c>
      <c r="I30" s="192">
        <f t="shared" si="10"/>
        <v>3000</v>
      </c>
      <c r="J30" s="195">
        <f t="shared" si="10"/>
        <v>0</v>
      </c>
      <c r="K30" s="195"/>
      <c r="L30" s="195">
        <f t="shared" si="10"/>
        <v>0</v>
      </c>
      <c r="M30" s="196">
        <f t="shared" si="10"/>
        <v>0</v>
      </c>
      <c r="N30" s="196">
        <f t="shared" si="10"/>
        <v>0</v>
      </c>
      <c r="O30" s="196">
        <f t="shared" si="10"/>
        <v>0</v>
      </c>
      <c r="P30" s="192">
        <v>0</v>
      </c>
      <c r="Q30" s="297">
        <f t="shared" si="11"/>
        <v>5617</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IF('Emp.-Detail'!F27="yes",E15)+IF('Emp.-Detail'!F27="NO",0)</f>
        <v>2423</v>
      </c>
      <c r="D31" s="192">
        <f>IF('Emp.-Detail'!F27="YES",K15)+IF('Emp.-Detail'!F27="NO",J15,0)</f>
        <v>0</v>
      </c>
      <c r="E31" s="195"/>
      <c r="F31" s="287">
        <f t="shared" si="9"/>
        <v>2423</v>
      </c>
      <c r="G31" s="192">
        <f t="shared" si="10"/>
        <v>0</v>
      </c>
      <c r="H31" s="194">
        <f t="shared" si="10"/>
        <v>0</v>
      </c>
      <c r="I31" s="192">
        <f t="shared" si="10"/>
        <v>3000</v>
      </c>
      <c r="J31" s="195">
        <f t="shared" si="10"/>
        <v>0</v>
      </c>
      <c r="K31" s="195"/>
      <c r="L31" s="195">
        <f t="shared" si="10"/>
        <v>0</v>
      </c>
      <c r="M31" s="196">
        <f t="shared" si="10"/>
        <v>0</v>
      </c>
      <c r="N31" s="196">
        <f t="shared" si="10"/>
        <v>0</v>
      </c>
      <c r="O31" s="196">
        <f t="shared" si="10"/>
        <v>0</v>
      </c>
      <c r="P31" s="192">
        <v>0</v>
      </c>
      <c r="Q31" s="297">
        <f t="shared" si="11"/>
        <v>5423</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IF('Emp.-Detail'!F27="yes",E16)+IF('Emp.-Detail'!F27="NO",0)</f>
        <v>2488</v>
      </c>
      <c r="D32" s="192">
        <f>IF('Emp.-Detail'!F27="YES",K16)+IF('Emp.-Detail'!F27="NO",J16,0)</f>
        <v>0</v>
      </c>
      <c r="E32" s="195"/>
      <c r="F32" s="287">
        <f t="shared" si="9"/>
        <v>2488</v>
      </c>
      <c r="G32" s="192">
        <f t="shared" si="10"/>
        <v>0</v>
      </c>
      <c r="H32" s="194">
        <f t="shared" si="10"/>
        <v>0</v>
      </c>
      <c r="I32" s="192">
        <f t="shared" si="10"/>
        <v>3000</v>
      </c>
      <c r="J32" s="195">
        <f t="shared" si="10"/>
        <v>0</v>
      </c>
      <c r="K32" s="195"/>
      <c r="L32" s="195">
        <f t="shared" si="10"/>
        <v>0</v>
      </c>
      <c r="M32" s="196">
        <f t="shared" si="10"/>
        <v>0</v>
      </c>
      <c r="N32" s="196">
        <f t="shared" si="10"/>
        <v>0</v>
      </c>
      <c r="O32" s="196">
        <f t="shared" si="10"/>
        <v>0</v>
      </c>
      <c r="P32" s="192">
        <v>0</v>
      </c>
      <c r="Q32" s="297">
        <f t="shared" si="11"/>
        <v>5488</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IF('Emp.-Detail'!F27="yes",E17)+IF('Emp.-Detail'!F27="NO",0)</f>
        <v>2488</v>
      </c>
      <c r="D33" s="192">
        <f>IF('Emp.-Detail'!F27="YES",K17)+IF('Emp.-Detail'!F27="NO",J17,0)</f>
        <v>0</v>
      </c>
      <c r="E33" s="195"/>
      <c r="F33" s="287">
        <f t="shared" si="9"/>
        <v>2488</v>
      </c>
      <c r="G33" s="192">
        <f t="shared" si="10"/>
        <v>0</v>
      </c>
      <c r="H33" s="194">
        <f t="shared" si="10"/>
        <v>0</v>
      </c>
      <c r="I33" s="192">
        <f t="shared" si="10"/>
        <v>3000</v>
      </c>
      <c r="J33" s="195">
        <f t="shared" si="10"/>
        <v>0</v>
      </c>
      <c r="K33" s="195"/>
      <c r="L33" s="195">
        <f t="shared" si="10"/>
        <v>0</v>
      </c>
      <c r="M33" s="196">
        <f t="shared" si="10"/>
        <v>0</v>
      </c>
      <c r="N33" s="196">
        <f t="shared" si="10"/>
        <v>0</v>
      </c>
      <c r="O33" s="196">
        <f t="shared" si="10"/>
        <v>0</v>
      </c>
      <c r="P33" s="192">
        <v>0</v>
      </c>
      <c r="Q33" s="297">
        <f t="shared" si="11"/>
        <v>5488</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IF('Emp.-Detail'!F27="yes",E18)+IF('Emp.-Detail'!F27="NO",0)</f>
        <v>2488</v>
      </c>
      <c r="D34" s="192">
        <f>IF('Emp.-Detail'!F27="YES",K18)+IF('Emp.-Detail'!F27="NO",J18,0)</f>
        <v>0</v>
      </c>
      <c r="E34" s="195"/>
      <c r="F34" s="287">
        <f t="shared" si="9"/>
        <v>2488</v>
      </c>
      <c r="G34" s="192">
        <f t="shared" si="10"/>
        <v>0</v>
      </c>
      <c r="H34" s="194">
        <f t="shared" si="10"/>
        <v>0</v>
      </c>
      <c r="I34" s="192">
        <f t="shared" si="10"/>
        <v>3000</v>
      </c>
      <c r="J34" s="195">
        <f t="shared" si="10"/>
        <v>0</v>
      </c>
      <c r="K34" s="195"/>
      <c r="L34" s="195">
        <f t="shared" si="10"/>
        <v>0</v>
      </c>
      <c r="M34" s="196">
        <f t="shared" si="10"/>
        <v>0</v>
      </c>
      <c r="N34" s="196">
        <f t="shared" si="10"/>
        <v>0</v>
      </c>
      <c r="O34" s="196">
        <f t="shared" si="10"/>
        <v>0</v>
      </c>
      <c r="P34" s="192">
        <v>0</v>
      </c>
      <c r="Q34" s="297">
        <f t="shared" si="11"/>
        <v>5488</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IF('Emp.-Detail'!F27="yes",E19)+IF('Emp.-Detail'!F27="NO",0)</f>
        <v>2488</v>
      </c>
      <c r="D35" s="192">
        <f>IF('Emp.-Detail'!F27="YES",K19)+IF('Emp.-Detail'!F27="NO",J19,0)</f>
        <v>0</v>
      </c>
      <c r="E35" s="195"/>
      <c r="F35" s="287">
        <f t="shared" si="9"/>
        <v>2488</v>
      </c>
      <c r="G35" s="192">
        <f t="shared" si="10"/>
        <v>0</v>
      </c>
      <c r="H35" s="194">
        <f t="shared" si="10"/>
        <v>0</v>
      </c>
      <c r="I35" s="192">
        <f t="shared" si="10"/>
        <v>3000</v>
      </c>
      <c r="J35" s="195">
        <f t="shared" si="10"/>
        <v>0</v>
      </c>
      <c r="K35" s="195"/>
      <c r="L35" s="195">
        <f t="shared" si="10"/>
        <v>0</v>
      </c>
      <c r="M35" s="196">
        <f t="shared" si="10"/>
        <v>0</v>
      </c>
      <c r="N35" s="196">
        <f t="shared" si="10"/>
        <v>0</v>
      </c>
      <c r="O35" s="196">
        <f t="shared" si="10"/>
        <v>0</v>
      </c>
      <c r="P35" s="192">
        <v>0</v>
      </c>
      <c r="Q35" s="297">
        <f t="shared" si="11"/>
        <v>5488</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IF('Emp.-Detail'!F27="yes",E20)+IF('Emp.-Detail'!F27="NO",0)</f>
        <v>2488</v>
      </c>
      <c r="D36" s="192">
        <f>IF('Emp.-Detail'!F27="YES",K20)+IF('Emp.-Detail'!F27="NO",J20,0)</f>
        <v>0</v>
      </c>
      <c r="E36" s="195"/>
      <c r="F36" s="287">
        <f t="shared" si="9"/>
        <v>2488</v>
      </c>
      <c r="G36" s="192">
        <f t="shared" si="10"/>
        <v>0</v>
      </c>
      <c r="H36" s="194">
        <f t="shared" si="10"/>
        <v>0</v>
      </c>
      <c r="I36" s="192">
        <f t="shared" si="10"/>
        <v>3000</v>
      </c>
      <c r="J36" s="195">
        <f t="shared" si="10"/>
        <v>0</v>
      </c>
      <c r="K36" s="195"/>
      <c r="L36" s="195">
        <f t="shared" si="10"/>
        <v>0</v>
      </c>
      <c r="M36" s="196">
        <f t="shared" si="10"/>
        <v>0</v>
      </c>
      <c r="N36" s="196">
        <f t="shared" si="10"/>
        <v>0</v>
      </c>
      <c r="O36" s="196">
        <f t="shared" si="10"/>
        <v>0</v>
      </c>
      <c r="P36" s="192">
        <v>0</v>
      </c>
      <c r="Q36" s="297">
        <f t="shared" si="11"/>
        <v>5488</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29051</v>
      </c>
      <c r="D37" s="287">
        <f>SUM(D25:D36)</f>
        <v>382</v>
      </c>
      <c r="E37" s="306"/>
      <c r="F37" s="307">
        <f t="shared" si="9"/>
        <v>29433</v>
      </c>
      <c r="G37" s="287">
        <f t="shared" ref="G37:Q37" si="12">SUM(G25:G36)</f>
        <v>0</v>
      </c>
      <c r="H37" s="288">
        <f>SUM(H25:H36)</f>
        <v>0</v>
      </c>
      <c r="I37" s="287">
        <f t="shared" si="12"/>
        <v>36000</v>
      </c>
      <c r="J37" s="306">
        <f t="shared" si="12"/>
        <v>0</v>
      </c>
      <c r="K37" s="306"/>
      <c r="L37" s="306">
        <f t="shared" si="12"/>
        <v>0</v>
      </c>
      <c r="M37" s="308">
        <f t="shared" si="12"/>
        <v>0</v>
      </c>
      <c r="N37" s="308">
        <f t="shared" si="12"/>
        <v>0</v>
      </c>
      <c r="O37" s="308">
        <f t="shared" si="12"/>
        <v>0</v>
      </c>
      <c r="P37" s="288">
        <f t="shared" si="12"/>
        <v>251.9</v>
      </c>
      <c r="Q37" s="305">
        <f t="shared" si="12"/>
        <v>65684.899999999994</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318890</v>
      </c>
      <c r="D38" s="860"/>
      <c r="E38" s="309"/>
      <c r="F38" s="310"/>
      <c r="G38" s="1001" t="s">
        <v>13</v>
      </c>
      <c r="H38" s="1001"/>
      <c r="I38" s="1001"/>
      <c r="J38" s="860">
        <f>Q37</f>
        <v>65684.899999999994</v>
      </c>
      <c r="K38" s="860"/>
      <c r="L38" s="860"/>
      <c r="M38" s="310"/>
      <c r="N38" s="998" t="s">
        <v>15</v>
      </c>
      <c r="O38" s="998"/>
      <c r="P38" s="860">
        <f>Q21-Q37</f>
        <v>253205.1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223804</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223800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0</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0</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0</v>
      </c>
      <c r="V43" s="949"/>
      <c r="W43" s="949"/>
      <c r="X43" s="1067" t="s">
        <v>84</v>
      </c>
      <c r="Y43" s="1067"/>
      <c r="Z43" s="1067"/>
      <c r="AA43" s="953">
        <f>ROUND((AD42*1%),0)</f>
        <v>0</v>
      </c>
      <c r="AB43" s="953"/>
      <c r="AC43" s="953"/>
      <c r="AD43" s="951">
        <f>U43+AA43</f>
        <v>0</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0</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IF('Emp.-Detail'!F27="NO",0,ROUND(E21+K21,0))</f>
        <v>29433</v>
      </c>
      <c r="Q46" s="943"/>
      <c r="R46" s="22"/>
      <c r="S46" s="1071" t="s">
        <v>87</v>
      </c>
      <c r="T46" s="1072"/>
      <c r="U46" s="1072"/>
      <c r="V46" s="1072"/>
      <c r="W46" s="1072"/>
      <c r="X46" s="1072"/>
      <c r="Y46" s="1072"/>
      <c r="Z46" s="1072"/>
      <c r="AA46" s="1072"/>
      <c r="AB46" s="1072"/>
      <c r="AC46" s="1072"/>
      <c r="AD46" s="796">
        <f>AD44-AD45</f>
        <v>0</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0</v>
      </c>
      <c r="T49" s="1081"/>
      <c r="U49" s="1081"/>
      <c r="V49" s="1070">
        <f>SUM(O28:O30)</f>
        <v>0</v>
      </c>
      <c r="W49" s="1070"/>
      <c r="X49" s="1070"/>
      <c r="Y49" s="1070">
        <f>SUM(O31:O33)</f>
        <v>0</v>
      </c>
      <c r="Z49" s="1070"/>
      <c r="AA49" s="1070"/>
      <c r="AB49" s="951">
        <f>SUM(O34:O36)</f>
        <v>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t="str">
        <f>IF(AD46&gt;AD50,AD46-AD50,"0")</f>
        <v>0</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 xml:space="preserve">KAMAL KISHOR RANKAWAT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348323</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348323</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348323</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 xml:space="preserve">KAMAL KISHOR RANKAWAT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AVUPR4488E</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9828318460</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348323</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'Emp.-Detail'!O27</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0</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86684</v>
      </c>
      <c r="K69" s="788"/>
      <c r="L69" s="788"/>
      <c r="M69" s="776"/>
      <c r="N69" s="775">
        <f>SUM(O25:O27)</f>
        <v>0</v>
      </c>
      <c r="O69" s="776"/>
      <c r="P69" s="775">
        <f>N69</f>
        <v>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77116</v>
      </c>
      <c r="K70" s="788"/>
      <c r="L70" s="788"/>
      <c r="M70" s="776"/>
      <c r="N70" s="775">
        <f>SUM(O28:O30)</f>
        <v>0</v>
      </c>
      <c r="O70" s="776"/>
      <c r="P70" s="775">
        <f>N70</f>
        <v>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77222</v>
      </c>
      <c r="K71" s="788"/>
      <c r="L71" s="788"/>
      <c r="M71" s="776"/>
      <c r="N71" s="775">
        <f>SUM(O31:O33)</f>
        <v>0</v>
      </c>
      <c r="O71" s="776"/>
      <c r="P71" s="775">
        <f t="shared" ref="P71:P72" si="13">N71</f>
        <v>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77868</v>
      </c>
      <c r="K72" s="788"/>
      <c r="L72" s="788"/>
      <c r="M72" s="776"/>
      <c r="N72" s="775">
        <f>SUM(O34:O36)</f>
        <v>0</v>
      </c>
      <c r="O72" s="776"/>
      <c r="P72" s="775">
        <f t="shared" si="13"/>
        <v>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318890</v>
      </c>
      <c r="K73" s="808"/>
      <c r="L73" s="808"/>
      <c r="M73" s="809"/>
      <c r="N73" s="845">
        <f>SUM(N69:N72)</f>
        <v>0</v>
      </c>
      <c r="O73" s="809"/>
      <c r="P73" s="845">
        <f>SUM(P69:P72)</f>
        <v>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0</v>
      </c>
      <c r="E76" s="219"/>
      <c r="F76" s="219">
        <f>O26</f>
        <v>0</v>
      </c>
      <c r="G76" s="219">
        <f>O27</f>
        <v>0</v>
      </c>
      <c r="H76" s="219">
        <f>O28</f>
        <v>0</v>
      </c>
      <c r="I76" s="219">
        <f>O29</f>
        <v>0</v>
      </c>
      <c r="J76" s="219">
        <f>O30</f>
        <v>0</v>
      </c>
      <c r="K76" s="219"/>
      <c r="L76" s="219">
        <f>O31</f>
        <v>0</v>
      </c>
      <c r="M76" s="219">
        <f>O32</f>
        <v>0</v>
      </c>
      <c r="N76" s="219">
        <f>O33</f>
        <v>0</v>
      </c>
      <c r="O76" s="219">
        <f>O34</f>
        <v>0</v>
      </c>
      <c r="P76" s="219">
        <f>O35</f>
        <v>0</v>
      </c>
      <c r="Q76" s="220">
        <f>O36</f>
        <v>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29433</v>
      </c>
      <c r="AA81" s="776"/>
      <c r="AB81" s="773">
        <f>SUM(Z67:Z81)</f>
        <v>65653</v>
      </c>
      <c r="AC81" s="1113"/>
      <c r="AD81" s="773">
        <f>AD26</f>
        <v>95086</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367</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'Emp.-Detail'!N27</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'Emp.-Detail'!N27</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'Emp.-Detail'!N27</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'Emp.-Detail'!J27</f>
        <v>0</v>
      </c>
      <c r="C87" s="788"/>
      <c r="D87" s="776"/>
      <c r="E87" s="257"/>
      <c r="F87" s="1233" t="str">
        <f>'Emp.-Detail'!K27</f>
        <v>0</v>
      </c>
      <c r="G87" s="791"/>
      <c r="H87" s="791"/>
      <c r="I87" s="792"/>
      <c r="J87" s="810" t="str">
        <f>'Emp.-Detail'!L27</f>
        <v>00/00/0000</v>
      </c>
      <c r="K87" s="811"/>
      <c r="L87" s="811"/>
      <c r="M87" s="812"/>
      <c r="N87" s="1233" t="str">
        <f>'Emp.-Detail'!M27</f>
        <v>00</v>
      </c>
      <c r="O87" s="792"/>
      <c r="P87" s="793" t="str">
        <f>'Emp.-Detail'!N27</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95086</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223800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0</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0</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0</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0</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348323</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348323</v>
      </c>
      <c r="P104" s="776"/>
      <c r="Q104" s="258">
        <f>O104</f>
        <v>348323</v>
      </c>
      <c r="R104" s="235"/>
      <c r="S104" s="254"/>
      <c r="T104" s="229" t="str">
        <f>'DDO '!L10</f>
        <v>PRINCIPAL</v>
      </c>
      <c r="U104" s="229"/>
      <c r="V104" s="780" t="s">
        <v>51</v>
      </c>
      <c r="W104" s="780"/>
      <c r="X104" s="780"/>
      <c r="Y104" s="780"/>
      <c r="Z104" s="770">
        <f>AD100</f>
        <v>0</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348323</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348323</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348323</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9"/>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O52:P52"/>
    <mergeCell ref="S52:AC52"/>
    <mergeCell ref="AD52:AF52"/>
    <mergeCell ref="O50:P50"/>
    <mergeCell ref="Q50:Q55"/>
    <mergeCell ref="S50:AC50"/>
    <mergeCell ref="AD50:AF50"/>
    <mergeCell ref="A51:B51"/>
    <mergeCell ref="C51:D51"/>
    <mergeCell ref="I51:J51"/>
    <mergeCell ref="L51:N51"/>
    <mergeCell ref="O51:P51"/>
    <mergeCell ref="F50:H50"/>
    <mergeCell ref="F51:H51"/>
    <mergeCell ref="F52:J52"/>
    <mergeCell ref="A53:H53"/>
    <mergeCell ref="A54:H54"/>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A50:B50"/>
    <mergeCell ref="C50:D50"/>
    <mergeCell ref="I50:J50"/>
    <mergeCell ref="L50:N50"/>
    <mergeCell ref="S51:AC51"/>
    <mergeCell ref="AD51:AF51"/>
    <mergeCell ref="A52:B52"/>
    <mergeCell ref="C52:D52"/>
    <mergeCell ref="L52:N52"/>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98:Q98"/>
    <mergeCell ref="S98:AC98"/>
    <mergeCell ref="AD98:AE98"/>
    <mergeCell ref="A99:Q99"/>
    <mergeCell ref="S99:AC99"/>
    <mergeCell ref="AD99:AE99"/>
    <mergeCell ref="AD96:AE96"/>
    <mergeCell ref="A97:J97"/>
    <mergeCell ref="L97:M97"/>
    <mergeCell ref="N97:Q97"/>
    <mergeCell ref="S97:AC97"/>
    <mergeCell ref="AD97:AE97"/>
    <mergeCell ref="A100:L100"/>
    <mergeCell ref="M100:N100"/>
    <mergeCell ref="O100:P103"/>
    <mergeCell ref="Q100:Q103"/>
    <mergeCell ref="S100:AC100"/>
    <mergeCell ref="AD100:AE100"/>
    <mergeCell ref="A101:L101"/>
    <mergeCell ref="M101:N101"/>
    <mergeCell ref="S101:AE101"/>
    <mergeCell ref="A102:L102"/>
    <mergeCell ref="M110:P110"/>
    <mergeCell ref="S110:T110"/>
    <mergeCell ref="U110:W110"/>
    <mergeCell ref="D111:I111"/>
    <mergeCell ref="M102:N102"/>
    <mergeCell ref="S102:AE102"/>
    <mergeCell ref="A103:L103"/>
    <mergeCell ref="M103:N103"/>
    <mergeCell ref="T103:V103"/>
    <mergeCell ref="W103:Y103"/>
    <mergeCell ref="Z103:AB103"/>
    <mergeCell ref="AC103:AE103"/>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A1:D1"/>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J111:L111"/>
    <mergeCell ref="M111:N111"/>
    <mergeCell ref="A104:L104"/>
    <mergeCell ref="M104:N107"/>
    <mergeCell ref="O104:P10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24.xml><?xml version="1.0" encoding="utf-8"?>
<worksheet xmlns="http://schemas.openxmlformats.org/spreadsheetml/2006/main" xmlns:r="http://schemas.openxmlformats.org/officeDocument/2006/relationships">
  <dimension ref="A1:AJ150"/>
  <sheetViews>
    <sheetView view="pageBreakPreview" zoomScaleSheetLayoutView="100" workbookViewId="0">
      <selection sqref="A1:D1"/>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40"/>
      <c r="F1" s="4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8"/>
      <c r="AG1" s="17"/>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VINOD KUMAR SHARMA</v>
      </c>
      <c r="T3" s="538"/>
      <c r="U3" s="538"/>
      <c r="V3" s="538"/>
      <c r="W3" s="949" t="str">
        <f>P4</f>
        <v>Lab.Boy.</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'Emp.-Detail'!B28</f>
        <v>VINOD KUMAR SHARMA</v>
      </c>
      <c r="E4" s="949"/>
      <c r="F4" s="949"/>
      <c r="G4" s="949"/>
      <c r="H4" s="949"/>
      <c r="I4" s="854"/>
      <c r="J4" s="1185">
        <f>'Emp.-Detail'!A28</f>
        <v>20</v>
      </c>
      <c r="K4" s="1186"/>
      <c r="L4" s="1187"/>
      <c r="M4" s="982" t="s">
        <v>8</v>
      </c>
      <c r="N4" s="833"/>
      <c r="O4" s="833"/>
      <c r="P4" s="949" t="str">
        <f>'Emp.-Detail'!C28</f>
        <v>Lab.Boy.</v>
      </c>
      <c r="Q4" s="950"/>
      <c r="R4" s="50"/>
      <c r="S4" s="1250" t="str">
        <f>D5</f>
        <v>CJOPK0625C</v>
      </c>
      <c r="T4" s="538"/>
      <c r="U4" s="538"/>
      <c r="V4" s="538"/>
      <c r="W4" s="959" t="str">
        <f>'Emp.-Detail'!H28</f>
        <v>51095136894</v>
      </c>
      <c r="X4" s="949"/>
      <c r="Y4" s="949"/>
      <c r="Z4" s="949"/>
      <c r="AA4" s="949" t="str">
        <f>'Emp.-Detail'!I28</f>
        <v>SBBJ, Sujangarh</v>
      </c>
      <c r="AB4" s="949"/>
      <c r="AC4" s="949"/>
      <c r="AD4" s="949"/>
      <c r="AE4" s="949"/>
      <c r="AF4" s="950"/>
      <c r="AG4" s="17"/>
    </row>
    <row r="5" spans="1:33" ht="19.5" customHeight="1" thickBot="1">
      <c r="A5" s="954" t="s">
        <v>135</v>
      </c>
      <c r="B5" s="833"/>
      <c r="C5" s="833"/>
      <c r="D5" s="949" t="str">
        <f>'Emp.-Detail'!D28</f>
        <v>CJOPK0625C</v>
      </c>
      <c r="E5" s="949"/>
      <c r="F5" s="949"/>
      <c r="G5" s="949"/>
      <c r="H5" s="949"/>
      <c r="I5" s="854"/>
      <c r="J5" s="1188"/>
      <c r="K5" s="1189"/>
      <c r="L5" s="1190"/>
      <c r="M5" s="982" t="s">
        <v>137</v>
      </c>
      <c r="N5" s="833"/>
      <c r="O5" s="833"/>
      <c r="P5" s="959">
        <f>'Emp.-Detail'!G28</f>
        <v>9828662685</v>
      </c>
      <c r="Q5" s="950"/>
      <c r="R5" s="50"/>
      <c r="S5" s="974" t="s">
        <v>203</v>
      </c>
      <c r="T5" s="975"/>
      <c r="U5" s="975"/>
      <c r="V5" s="975"/>
      <c r="W5" s="951">
        <f>SUM(Q9:Q20)</f>
        <v>333744</v>
      </c>
      <c r="X5" s="951"/>
      <c r="Y5" s="1248" t="s">
        <v>202</v>
      </c>
      <c r="Z5" s="1249"/>
      <c r="AA5" s="1088"/>
      <c r="AB5" s="951">
        <f>P46</f>
        <v>0</v>
      </c>
      <c r="AC5" s="949"/>
      <c r="AD5" s="941">
        <f>W5+AB5</f>
        <v>333744</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333744</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333744</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333744</v>
      </c>
      <c r="AE8" s="942"/>
      <c r="AF8" s="943"/>
      <c r="AG8" s="17"/>
    </row>
    <row r="9" spans="1:33" ht="19.5" customHeight="1">
      <c r="A9" s="285">
        <v>1</v>
      </c>
      <c r="B9" s="286">
        <v>42430</v>
      </c>
      <c r="C9" s="190">
        <f>'Emp.-Detail'!E28</f>
        <v>10940</v>
      </c>
      <c r="D9" s="190">
        <f>ROUND(C9*119%,0)</f>
        <v>13019</v>
      </c>
      <c r="E9" s="191">
        <f>ROUND((C9+D9)*10%,0)</f>
        <v>2396</v>
      </c>
      <c r="F9" s="190">
        <f>ROUND(C9*10%,0)</f>
        <v>1094</v>
      </c>
      <c r="G9" s="190">
        <v>0</v>
      </c>
      <c r="H9" s="190">
        <v>0</v>
      </c>
      <c r="I9" s="192">
        <f>ROUND(C9*6%,0)*3</f>
        <v>1968</v>
      </c>
      <c r="J9" s="190">
        <v>0</v>
      </c>
      <c r="K9" s="190">
        <f>ROUND((I9+J9)*10%,0)</f>
        <v>197</v>
      </c>
      <c r="L9" s="190">
        <v>12308</v>
      </c>
      <c r="M9" s="190">
        <v>0</v>
      </c>
      <c r="N9" s="190">
        <v>0</v>
      </c>
      <c r="O9" s="190">
        <v>0</v>
      </c>
      <c r="P9" s="193">
        <v>0</v>
      </c>
      <c r="Q9" s="290">
        <f>C9+D9+F9+G9+H9+I9+J9+L9+M9+N9+O9</f>
        <v>39329</v>
      </c>
      <c r="R9" s="282"/>
      <c r="S9" s="984" t="s">
        <v>144</v>
      </c>
      <c r="T9" s="985"/>
      <c r="U9" s="985"/>
      <c r="V9" s="985"/>
      <c r="W9" s="985"/>
      <c r="X9" s="985"/>
      <c r="Y9" s="985"/>
      <c r="Z9" s="971" t="s">
        <v>18</v>
      </c>
      <c r="AA9" s="971"/>
      <c r="AB9" s="967">
        <f>O49</f>
        <v>0</v>
      </c>
      <c r="AC9" s="968"/>
      <c r="AD9" s="977">
        <f>AD8+AB9</f>
        <v>333744</v>
      </c>
      <c r="AE9" s="978"/>
      <c r="AF9" s="979"/>
      <c r="AG9" s="17"/>
    </row>
    <row r="10" spans="1:33" ht="19.5" customHeight="1">
      <c r="A10" s="187">
        <v>2</v>
      </c>
      <c r="B10" s="286">
        <v>42461</v>
      </c>
      <c r="C10" s="192">
        <f>C9</f>
        <v>10940</v>
      </c>
      <c r="D10" s="190">
        <f>ROUND(C10*125%,0)</f>
        <v>13675</v>
      </c>
      <c r="E10" s="191">
        <f t="shared" ref="E10:E20" si="0">ROUND((C10+D10)*10%,0)</f>
        <v>2462</v>
      </c>
      <c r="F10" s="190">
        <f t="shared" ref="F10:F20" si="1">ROUND(C10*10%,0)</f>
        <v>1094</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25709</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10940</v>
      </c>
      <c r="D11" s="190">
        <f t="shared" ref="D11:D15" si="4">ROUND(C11*125%,0)</f>
        <v>13675</v>
      </c>
      <c r="E11" s="191">
        <f t="shared" si="0"/>
        <v>2462</v>
      </c>
      <c r="F11" s="190">
        <f t="shared" si="1"/>
        <v>1094</v>
      </c>
      <c r="G11" s="192">
        <f t="shared" ref="G11:H20" si="5">G10</f>
        <v>0</v>
      </c>
      <c r="H11" s="192">
        <f t="shared" si="5"/>
        <v>0</v>
      </c>
      <c r="I11" s="192">
        <v>0</v>
      </c>
      <c r="J11" s="190">
        <v>0</v>
      </c>
      <c r="K11" s="190">
        <f t="shared" si="2"/>
        <v>0</v>
      </c>
      <c r="L11" s="190">
        <v>0</v>
      </c>
      <c r="M11" s="190">
        <v>0</v>
      </c>
      <c r="N11" s="190">
        <v>0</v>
      </c>
      <c r="O11" s="190">
        <v>0</v>
      </c>
      <c r="P11" s="193">
        <v>0</v>
      </c>
      <c r="Q11" s="290">
        <f t="shared" si="3"/>
        <v>25709</v>
      </c>
      <c r="R11" s="50"/>
      <c r="S11" s="292" t="s">
        <v>146</v>
      </c>
      <c r="T11" s="958">
        <f>O50</f>
        <v>0</v>
      </c>
      <c r="U11" s="948"/>
      <c r="V11" s="980">
        <f>O51</f>
        <v>0</v>
      </c>
      <c r="W11" s="958"/>
      <c r="X11" s="948"/>
      <c r="Y11" s="980">
        <f>Q49</f>
        <v>0</v>
      </c>
      <c r="Z11" s="958"/>
      <c r="AA11" s="948"/>
      <c r="AB11" s="980">
        <f>T11+V11+Y11</f>
        <v>0</v>
      </c>
      <c r="AC11" s="948"/>
      <c r="AD11" s="941">
        <f>AD9-AB11</f>
        <v>333744</v>
      </c>
      <c r="AE11" s="942"/>
      <c r="AF11" s="943"/>
      <c r="AG11" s="17"/>
    </row>
    <row r="12" spans="1:33" ht="19.5" customHeight="1">
      <c r="A12" s="187">
        <v>4</v>
      </c>
      <c r="B12" s="286">
        <v>42522</v>
      </c>
      <c r="C12" s="192">
        <f>C11</f>
        <v>10940</v>
      </c>
      <c r="D12" s="190">
        <f t="shared" si="4"/>
        <v>13675</v>
      </c>
      <c r="E12" s="191">
        <f t="shared" si="0"/>
        <v>2462</v>
      </c>
      <c r="F12" s="190">
        <f t="shared" si="1"/>
        <v>1094</v>
      </c>
      <c r="G12" s="192">
        <f t="shared" si="5"/>
        <v>0</v>
      </c>
      <c r="H12" s="192">
        <f t="shared" si="5"/>
        <v>0</v>
      </c>
      <c r="I12" s="192">
        <v>0</v>
      </c>
      <c r="J12" s="190">
        <v>0</v>
      </c>
      <c r="K12" s="190">
        <f t="shared" si="2"/>
        <v>0</v>
      </c>
      <c r="L12" s="190">
        <v>0</v>
      </c>
      <c r="M12" s="190">
        <v>0</v>
      </c>
      <c r="N12" s="190">
        <v>0</v>
      </c>
      <c r="O12" s="190">
        <v>0</v>
      </c>
      <c r="P12" s="193">
        <v>0</v>
      </c>
      <c r="Q12" s="290">
        <f t="shared" si="3"/>
        <v>25709</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11270</v>
      </c>
      <c r="D13" s="190">
        <f t="shared" si="4"/>
        <v>14088</v>
      </c>
      <c r="E13" s="191">
        <f t="shared" si="0"/>
        <v>2536</v>
      </c>
      <c r="F13" s="190">
        <f t="shared" si="1"/>
        <v>1127</v>
      </c>
      <c r="G13" s="192">
        <f t="shared" si="5"/>
        <v>0</v>
      </c>
      <c r="H13" s="192">
        <f t="shared" si="5"/>
        <v>0</v>
      </c>
      <c r="I13" s="192">
        <v>0</v>
      </c>
      <c r="J13" s="190">
        <v>0</v>
      </c>
      <c r="K13" s="190">
        <f t="shared" si="2"/>
        <v>0</v>
      </c>
      <c r="L13" s="190">
        <v>0</v>
      </c>
      <c r="M13" s="190">
        <v>0</v>
      </c>
      <c r="N13" s="190">
        <v>0</v>
      </c>
      <c r="O13" s="190">
        <v>0</v>
      </c>
      <c r="P13" s="193">
        <v>0</v>
      </c>
      <c r="Q13" s="290">
        <f t="shared" si="3"/>
        <v>26485</v>
      </c>
      <c r="R13" s="70"/>
      <c r="S13" s="991">
        <f>O52</f>
        <v>0</v>
      </c>
      <c r="T13" s="948"/>
      <c r="U13" s="980">
        <f>O53</f>
        <v>0</v>
      </c>
      <c r="V13" s="948"/>
      <c r="W13" s="980">
        <f>O54</f>
        <v>0</v>
      </c>
      <c r="X13" s="948"/>
      <c r="Y13" s="980">
        <f>O55</f>
        <v>0</v>
      </c>
      <c r="Z13" s="958"/>
      <c r="AA13" s="958"/>
      <c r="AB13" s="951">
        <f>SUM(S13:AA13)</f>
        <v>0</v>
      </c>
      <c r="AC13" s="951"/>
      <c r="AD13" s="941">
        <f>AD11+AB13</f>
        <v>333744</v>
      </c>
      <c r="AE13" s="965"/>
      <c r="AF13" s="966"/>
      <c r="AG13" s="17"/>
    </row>
    <row r="14" spans="1:33" ht="19.5" customHeight="1">
      <c r="A14" s="187">
        <v>6</v>
      </c>
      <c r="B14" s="286">
        <v>42583</v>
      </c>
      <c r="C14" s="192">
        <f t="shared" ref="C14:C20" si="6">C13</f>
        <v>11270</v>
      </c>
      <c r="D14" s="190">
        <f>ROUND(C14*125%,0)</f>
        <v>14088</v>
      </c>
      <c r="E14" s="191">
        <f t="shared" si="0"/>
        <v>2536</v>
      </c>
      <c r="F14" s="190">
        <f t="shared" si="1"/>
        <v>1127</v>
      </c>
      <c r="G14" s="192">
        <f t="shared" si="5"/>
        <v>0</v>
      </c>
      <c r="H14" s="192">
        <f t="shared" si="5"/>
        <v>0</v>
      </c>
      <c r="I14" s="192">
        <v>0</v>
      </c>
      <c r="J14" s="192">
        <f>ROUND(C13*6%,0)*3</f>
        <v>2028</v>
      </c>
      <c r="K14" s="190">
        <f t="shared" si="2"/>
        <v>203</v>
      </c>
      <c r="L14" s="190">
        <v>0</v>
      </c>
      <c r="M14" s="190">
        <v>0</v>
      </c>
      <c r="N14" s="190">
        <v>0</v>
      </c>
      <c r="O14" s="190">
        <v>0</v>
      </c>
      <c r="P14" s="193">
        <v>0</v>
      </c>
      <c r="Q14" s="290">
        <f t="shared" si="3"/>
        <v>28513</v>
      </c>
      <c r="R14" s="50"/>
      <c r="S14" s="954" t="s">
        <v>19</v>
      </c>
      <c r="T14" s="833"/>
      <c r="U14" s="833"/>
      <c r="V14" s="833"/>
      <c r="W14" s="833"/>
      <c r="X14" s="833"/>
      <c r="Y14" s="833"/>
      <c r="Z14" s="833"/>
      <c r="AA14" s="951">
        <f>I55</f>
        <v>0</v>
      </c>
      <c r="AB14" s="951"/>
      <c r="AC14" s="951"/>
      <c r="AD14" s="941">
        <f>AD13+AA14</f>
        <v>333744</v>
      </c>
      <c r="AE14" s="942"/>
      <c r="AF14" s="943"/>
      <c r="AG14" s="17"/>
    </row>
    <row r="15" spans="1:33" ht="19.5" customHeight="1">
      <c r="A15" s="187">
        <v>7</v>
      </c>
      <c r="B15" s="286">
        <v>42614</v>
      </c>
      <c r="C15" s="192">
        <f t="shared" si="6"/>
        <v>11270</v>
      </c>
      <c r="D15" s="190">
        <f t="shared" si="4"/>
        <v>14088</v>
      </c>
      <c r="E15" s="191">
        <f t="shared" si="0"/>
        <v>2536</v>
      </c>
      <c r="F15" s="190">
        <f t="shared" si="1"/>
        <v>1127</v>
      </c>
      <c r="G15" s="192">
        <f t="shared" si="5"/>
        <v>0</v>
      </c>
      <c r="H15" s="192">
        <f t="shared" si="5"/>
        <v>0</v>
      </c>
      <c r="I15" s="192">
        <v>0</v>
      </c>
      <c r="J15" s="192">
        <v>0</v>
      </c>
      <c r="K15" s="190">
        <f t="shared" si="2"/>
        <v>0</v>
      </c>
      <c r="L15" s="190">
        <v>0</v>
      </c>
      <c r="M15" s="190">
        <v>0</v>
      </c>
      <c r="N15" s="190">
        <v>0</v>
      </c>
      <c r="O15" s="190">
        <v>0</v>
      </c>
      <c r="P15" s="193">
        <v>0</v>
      </c>
      <c r="Q15" s="290">
        <f t="shared" si="3"/>
        <v>26485</v>
      </c>
      <c r="R15" s="50"/>
      <c r="S15" s="992" t="s">
        <v>20</v>
      </c>
      <c r="T15" s="993"/>
      <c r="U15" s="993"/>
      <c r="V15" s="993"/>
      <c r="W15" s="993"/>
      <c r="X15" s="993"/>
      <c r="Y15" s="993"/>
      <c r="Z15" s="993"/>
      <c r="AA15" s="993"/>
      <c r="AB15" s="993"/>
      <c r="AC15" s="993"/>
      <c r="AD15" s="941">
        <f>AD14</f>
        <v>333744</v>
      </c>
      <c r="AE15" s="942"/>
      <c r="AF15" s="943"/>
      <c r="AG15" s="17"/>
    </row>
    <row r="16" spans="1:33" ht="19.5" customHeight="1">
      <c r="A16" s="187">
        <v>8</v>
      </c>
      <c r="B16" s="286">
        <v>42644</v>
      </c>
      <c r="C16" s="192">
        <f t="shared" si="6"/>
        <v>11270</v>
      </c>
      <c r="D16" s="190">
        <f>ROUND(C16*131%,0)</f>
        <v>14764</v>
      </c>
      <c r="E16" s="191">
        <f t="shared" si="0"/>
        <v>2603</v>
      </c>
      <c r="F16" s="190">
        <f t="shared" si="1"/>
        <v>1127</v>
      </c>
      <c r="G16" s="192">
        <f t="shared" si="5"/>
        <v>0</v>
      </c>
      <c r="H16" s="192">
        <f t="shared" si="5"/>
        <v>0</v>
      </c>
      <c r="I16" s="192">
        <v>0</v>
      </c>
      <c r="J16" s="192">
        <v>0</v>
      </c>
      <c r="K16" s="190">
        <f t="shared" si="2"/>
        <v>0</v>
      </c>
      <c r="L16" s="190">
        <v>0</v>
      </c>
      <c r="M16" s="190">
        <v>0</v>
      </c>
      <c r="N16" s="190">
        <v>0</v>
      </c>
      <c r="O16" s="190">
        <v>0</v>
      </c>
      <c r="P16" s="193">
        <v>0</v>
      </c>
      <c r="Q16" s="290">
        <f t="shared" si="3"/>
        <v>27161</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11270</v>
      </c>
      <c r="D17" s="190">
        <f>ROUND(C17*131%,0)</f>
        <v>14764</v>
      </c>
      <c r="E17" s="191">
        <f t="shared" si="0"/>
        <v>2603</v>
      </c>
      <c r="F17" s="190">
        <f t="shared" si="1"/>
        <v>1127</v>
      </c>
      <c r="G17" s="192">
        <f t="shared" si="5"/>
        <v>0</v>
      </c>
      <c r="H17" s="192">
        <f t="shared" si="5"/>
        <v>0</v>
      </c>
      <c r="I17" s="192">
        <v>0</v>
      </c>
      <c r="J17" s="192">
        <v>0</v>
      </c>
      <c r="K17" s="190">
        <f t="shared" si="2"/>
        <v>0</v>
      </c>
      <c r="L17" s="190">
        <v>0</v>
      </c>
      <c r="M17" s="190">
        <v>0</v>
      </c>
      <c r="N17" s="190">
        <v>0</v>
      </c>
      <c r="O17" s="190">
        <v>0</v>
      </c>
      <c r="P17" s="193">
        <v>0</v>
      </c>
      <c r="Q17" s="290">
        <f t="shared" si="3"/>
        <v>27161</v>
      </c>
      <c r="R17" s="50"/>
      <c r="S17" s="954" t="s">
        <v>157</v>
      </c>
      <c r="T17" s="833"/>
      <c r="U17" s="833"/>
      <c r="V17" s="951">
        <f>IF('Emp.-Detail'!F28="NO",F37,0)</f>
        <v>3996</v>
      </c>
      <c r="W17" s="951"/>
      <c r="X17" s="833" t="s">
        <v>167</v>
      </c>
      <c r="Y17" s="833"/>
      <c r="Z17" s="833"/>
      <c r="AA17" s="833"/>
      <c r="AB17" s="833"/>
      <c r="AC17" s="833"/>
      <c r="AD17" s="831">
        <f>F45</f>
        <v>0</v>
      </c>
      <c r="AE17" s="831"/>
      <c r="AF17" s="955"/>
      <c r="AG17" s="17"/>
    </row>
    <row r="18" spans="1:34" ht="19.5" customHeight="1">
      <c r="A18" s="187">
        <v>10</v>
      </c>
      <c r="B18" s="286">
        <v>42705</v>
      </c>
      <c r="C18" s="192">
        <f t="shared" si="6"/>
        <v>11270</v>
      </c>
      <c r="D18" s="190">
        <f>ROUND(C18*131%,0)</f>
        <v>14764</v>
      </c>
      <c r="E18" s="191">
        <f t="shared" si="0"/>
        <v>2603</v>
      </c>
      <c r="F18" s="190">
        <f t="shared" si="1"/>
        <v>1127</v>
      </c>
      <c r="G18" s="192">
        <f t="shared" si="5"/>
        <v>0</v>
      </c>
      <c r="H18" s="192">
        <f t="shared" si="5"/>
        <v>0</v>
      </c>
      <c r="I18" s="192">
        <v>0</v>
      </c>
      <c r="J18" s="192">
        <v>0</v>
      </c>
      <c r="K18" s="190">
        <f t="shared" si="2"/>
        <v>0</v>
      </c>
      <c r="L18" s="190">
        <v>0</v>
      </c>
      <c r="M18" s="190">
        <v>0</v>
      </c>
      <c r="N18" s="190">
        <v>0</v>
      </c>
      <c r="O18" s="190">
        <v>0</v>
      </c>
      <c r="P18" s="193">
        <v>0</v>
      </c>
      <c r="Q18" s="290">
        <f t="shared" si="3"/>
        <v>27161</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11270</v>
      </c>
      <c r="D19" s="190">
        <f>ROUND(C19*131%,0)</f>
        <v>14764</v>
      </c>
      <c r="E19" s="191">
        <f t="shared" si="0"/>
        <v>2603</v>
      </c>
      <c r="F19" s="190">
        <f t="shared" si="1"/>
        <v>1127</v>
      </c>
      <c r="G19" s="192">
        <f t="shared" si="5"/>
        <v>0</v>
      </c>
      <c r="H19" s="192">
        <f t="shared" si="5"/>
        <v>0</v>
      </c>
      <c r="I19" s="192">
        <v>0</v>
      </c>
      <c r="J19" s="192">
        <v>0</v>
      </c>
      <c r="K19" s="190">
        <f t="shared" si="2"/>
        <v>0</v>
      </c>
      <c r="L19" s="190">
        <v>0</v>
      </c>
      <c r="M19" s="190">
        <v>0</v>
      </c>
      <c r="N19" s="190">
        <v>0</v>
      </c>
      <c r="O19" s="190">
        <v>0</v>
      </c>
      <c r="P19" s="193">
        <v>0</v>
      </c>
      <c r="Q19" s="290">
        <f t="shared" si="3"/>
        <v>27161</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11270</v>
      </c>
      <c r="D20" s="190">
        <f>ROUND(C20*131%,0)</f>
        <v>14764</v>
      </c>
      <c r="E20" s="191">
        <f t="shared" si="0"/>
        <v>2603</v>
      </c>
      <c r="F20" s="190">
        <f t="shared" si="1"/>
        <v>1127</v>
      </c>
      <c r="G20" s="192">
        <f t="shared" si="5"/>
        <v>0</v>
      </c>
      <c r="H20" s="192">
        <f t="shared" si="5"/>
        <v>0</v>
      </c>
      <c r="I20" s="192">
        <v>0</v>
      </c>
      <c r="J20" s="192">
        <v>0</v>
      </c>
      <c r="K20" s="190">
        <f t="shared" si="2"/>
        <v>0</v>
      </c>
      <c r="L20" s="190">
        <v>0</v>
      </c>
      <c r="M20" s="190">
        <v>0</v>
      </c>
      <c r="N20" s="190">
        <v>0</v>
      </c>
      <c r="O20" s="190">
        <v>0</v>
      </c>
      <c r="P20" s="193">
        <v>0</v>
      </c>
      <c r="Q20" s="290">
        <f t="shared" si="3"/>
        <v>27161</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133920</v>
      </c>
      <c r="D21" s="287">
        <f>SUM(D9:D20)</f>
        <v>170128</v>
      </c>
      <c r="E21" s="288">
        <f>SUM(E9:E20)</f>
        <v>30405</v>
      </c>
      <c r="F21" s="287">
        <f>SUM(F9:F20)</f>
        <v>13392</v>
      </c>
      <c r="G21" s="287">
        <f t="shared" si="7"/>
        <v>0</v>
      </c>
      <c r="H21" s="287">
        <f>SUM(H9:H20)</f>
        <v>0</v>
      </c>
      <c r="I21" s="287">
        <f t="shared" si="7"/>
        <v>1968</v>
      </c>
      <c r="J21" s="287">
        <f t="shared" si="7"/>
        <v>2028</v>
      </c>
      <c r="K21" s="287">
        <f>SUM(K9:K20)</f>
        <v>400</v>
      </c>
      <c r="L21" s="287">
        <f t="shared" si="7"/>
        <v>12308</v>
      </c>
      <c r="M21" s="287">
        <f t="shared" si="7"/>
        <v>0</v>
      </c>
      <c r="N21" s="287">
        <f t="shared" si="7"/>
        <v>0</v>
      </c>
      <c r="O21" s="287">
        <f>SUM(O9:O20)</f>
        <v>0</v>
      </c>
      <c r="P21" s="289">
        <f>SUM(P9:P20)</f>
        <v>0</v>
      </c>
      <c r="Q21" s="84">
        <f>SUM(Q9:Q20)</f>
        <v>333744</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IF('Emp.-Detail'!F28="yes",E9)+IF('Emp.-Detail'!F28="NO",0)</f>
        <v>0</v>
      </c>
      <c r="D25" s="192">
        <f>IF('Emp.-Detail'!F28="YES",K9)+IF('Emp.-Detail'!F28="NO",I9,0)</f>
        <v>1968</v>
      </c>
      <c r="E25" s="195"/>
      <c r="F25" s="287">
        <f>SUM(C25:D25)</f>
        <v>1968</v>
      </c>
      <c r="G25" s="192">
        <v>0</v>
      </c>
      <c r="H25" s="194">
        <v>0</v>
      </c>
      <c r="I25" s="192">
        <v>3000</v>
      </c>
      <c r="J25" s="195">
        <v>0</v>
      </c>
      <c r="K25" s="195"/>
      <c r="L25" s="195">
        <v>0</v>
      </c>
      <c r="M25" s="196">
        <v>595</v>
      </c>
      <c r="N25" s="196">
        <v>0</v>
      </c>
      <c r="O25" s="196">
        <v>0</v>
      </c>
      <c r="P25" s="192">
        <v>0</v>
      </c>
      <c r="Q25" s="297">
        <f>SUM(F25:P25)</f>
        <v>5563</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IF('Emp.-Detail'!F28="yes",E10)+IF('Emp.-Detail'!F28="NO",0)</f>
        <v>0</v>
      </c>
      <c r="D26" s="192">
        <f>IF('Emp.-Detail'!F28="YES",K10)+IF('Emp.-Detail'!F28="NO",I10,0)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0</v>
      </c>
      <c r="P26" s="194">
        <f>'Emp.-Detail'!AB9+'Emp.-Detail'!AB9*14.5%</f>
        <v>251.9</v>
      </c>
      <c r="Q26" s="297">
        <f t="shared" ref="Q26:Q36" si="11">SUM(F26:P26)</f>
        <v>3846.9</v>
      </c>
      <c r="R26" s="50"/>
      <c r="S26" s="1089" t="s">
        <v>279</v>
      </c>
      <c r="T26" s="1090"/>
      <c r="U26" s="1090"/>
      <c r="V26" s="1090"/>
      <c r="W26" s="1090"/>
      <c r="X26" s="1090"/>
      <c r="Y26" s="1090"/>
      <c r="Z26" s="1090"/>
      <c r="AA26" s="1091"/>
      <c r="AB26" s="942">
        <f>SUM(V17:V25)+SUM(AD17:AD25)</f>
        <v>40216</v>
      </c>
      <c r="AC26" s="957"/>
      <c r="AD26" s="1135">
        <f>IF(AB26&lt;=150000,AB26,150000)+AD25</f>
        <v>40216</v>
      </c>
      <c r="AE26" s="1136"/>
      <c r="AF26" s="1137"/>
      <c r="AG26" s="17"/>
    </row>
    <row r="27" spans="1:34" ht="19.5" customHeight="1">
      <c r="A27" s="187">
        <v>3</v>
      </c>
      <c r="B27" s="296">
        <f t="shared" si="8"/>
        <v>42491</v>
      </c>
      <c r="C27" s="192">
        <f>IF('Emp.-Detail'!F28="yes",E11)+IF('Emp.-Detail'!F28="NO",0)</f>
        <v>0</v>
      </c>
      <c r="D27" s="192">
        <f>IF('Emp.-Detail'!F28="YES",K11)+IF('Emp.-Detail'!F28="NO",I11,0)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0</v>
      </c>
      <c r="P27" s="192">
        <v>0</v>
      </c>
      <c r="Q27" s="297">
        <f t="shared" si="11"/>
        <v>3595</v>
      </c>
      <c r="R27" s="50"/>
      <c r="S27" s="1085" t="s">
        <v>592</v>
      </c>
      <c r="T27" s="1086"/>
      <c r="U27" s="1086"/>
      <c r="V27" s="1086"/>
      <c r="W27" s="1086"/>
      <c r="X27" s="1086"/>
      <c r="Y27" s="1086"/>
      <c r="Z27" s="1086"/>
      <c r="AA27" s="1086"/>
      <c r="AB27" s="1087">
        <f>AB5</f>
        <v>0</v>
      </c>
      <c r="AC27" s="1088"/>
      <c r="AD27" s="1252">
        <f>AD15-(AD26+AB5)</f>
        <v>293528</v>
      </c>
      <c r="AE27" s="1252"/>
      <c r="AF27" s="1253"/>
      <c r="AG27" s="17"/>
    </row>
    <row r="28" spans="1:34" ht="19.5" customHeight="1">
      <c r="A28" s="187">
        <v>4</v>
      </c>
      <c r="B28" s="296">
        <f t="shared" si="8"/>
        <v>42522</v>
      </c>
      <c r="C28" s="192">
        <f>IF('Emp.-Detail'!F28="yes",E12)+IF('Emp.-Detail'!F28="NO",0)</f>
        <v>0</v>
      </c>
      <c r="D28" s="192">
        <f>IF('Emp.-Detail'!F28="YES",K12)+IF('Emp.-Detail'!F28="NO",I12,0)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0</v>
      </c>
      <c r="P28" s="192">
        <v>0</v>
      </c>
      <c r="Q28" s="297">
        <f t="shared" si="11"/>
        <v>3595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IF('Emp.-Detail'!F28="yes",E13)+IF('Emp.-Detail'!F28="NO",0)</f>
        <v>0</v>
      </c>
      <c r="D29" s="192">
        <f>IF('Emp.-Detail'!F28="YES",K13)+IF('Emp.-Detail'!F28="NO",I13,0)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0</v>
      </c>
      <c r="P29" s="192">
        <v>0</v>
      </c>
      <c r="Q29" s="297">
        <f t="shared" si="11"/>
        <v>3595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IF('Emp.-Detail'!F28="yes",E14)+IF('Emp.-Detail'!F28="NO",0)</f>
        <v>0</v>
      </c>
      <c r="D30" s="192">
        <f>IF('Emp.-Detail'!F28="YES",K14)+IF('Emp.-Detail'!F28="NO",J14,0)</f>
        <v>2028</v>
      </c>
      <c r="E30" s="195"/>
      <c r="F30" s="287">
        <f t="shared" si="9"/>
        <v>2028</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0</v>
      </c>
      <c r="P30" s="192">
        <v>0</v>
      </c>
      <c r="Q30" s="297">
        <f t="shared" si="11"/>
        <v>5623</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IF('Emp.-Detail'!F28="yes",E15)+IF('Emp.-Detail'!F28="NO",0)</f>
        <v>0</v>
      </c>
      <c r="D31" s="192">
        <f>IF('Emp.-Detail'!F28="YES",K15)+IF('Emp.-Detail'!F28="NO",J15,0)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0</v>
      </c>
      <c r="P31" s="192">
        <v>0</v>
      </c>
      <c r="Q31" s="297">
        <f t="shared" si="11"/>
        <v>3595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IF('Emp.-Detail'!F28="yes",E16)+IF('Emp.-Detail'!F28="NO",0)</f>
        <v>0</v>
      </c>
      <c r="D32" s="192">
        <f>IF('Emp.-Detail'!F28="YES",K16)+IF('Emp.-Detail'!F28="NO",J16,0)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0</v>
      </c>
      <c r="P32" s="192">
        <v>0</v>
      </c>
      <c r="Q32" s="297">
        <f t="shared" si="11"/>
        <v>3595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IF('Emp.-Detail'!F28="yes",E17)+IF('Emp.-Detail'!F28="NO",0)</f>
        <v>0</v>
      </c>
      <c r="D33" s="192">
        <f>IF('Emp.-Detail'!F28="YES",K17)+IF('Emp.-Detail'!F28="NO",J17,0)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0</v>
      </c>
      <c r="P33" s="192">
        <v>0</v>
      </c>
      <c r="Q33" s="297">
        <f t="shared" si="11"/>
        <v>3595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IF('Emp.-Detail'!F28="yes",E18)+IF('Emp.-Detail'!F28="NO",0)</f>
        <v>0</v>
      </c>
      <c r="D34" s="192">
        <f>IF('Emp.-Detail'!F28="YES",K18)+IF('Emp.-Detail'!F28="NO",J18,0)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0</v>
      </c>
      <c r="P34" s="192">
        <v>0</v>
      </c>
      <c r="Q34" s="297">
        <f t="shared" si="11"/>
        <v>3595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IF('Emp.-Detail'!F28="yes",E19)+IF('Emp.-Detail'!F28="NO",0)</f>
        <v>0</v>
      </c>
      <c r="D35" s="192">
        <f>IF('Emp.-Detail'!F28="YES",K19)+IF('Emp.-Detail'!F28="NO",J19,0)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0</v>
      </c>
      <c r="P35" s="192">
        <v>0</v>
      </c>
      <c r="Q35" s="297">
        <f t="shared" si="11"/>
        <v>3595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IF('Emp.-Detail'!F28="yes",E20)+IF('Emp.-Detail'!F28="NO",0)</f>
        <v>0</v>
      </c>
      <c r="D36" s="192">
        <f>IF('Emp.-Detail'!F28="YES",K20)+IF('Emp.-Detail'!F28="NO",J20,0)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0</v>
      </c>
      <c r="P36" s="192">
        <v>0</v>
      </c>
      <c r="Q36" s="297">
        <f t="shared" si="11"/>
        <v>3595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3996</v>
      </c>
      <c r="E37" s="306"/>
      <c r="F37" s="307">
        <f t="shared" si="9"/>
        <v>3996</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0</v>
      </c>
      <c r="P37" s="288">
        <f t="shared" si="12"/>
        <v>251.9</v>
      </c>
      <c r="Q37" s="305">
        <f t="shared" si="12"/>
        <v>47387.9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333744</v>
      </c>
      <c r="D38" s="860"/>
      <c r="E38" s="309"/>
      <c r="F38" s="310"/>
      <c r="G38" s="1001" t="s">
        <v>13</v>
      </c>
      <c r="H38" s="1001"/>
      <c r="I38" s="1001"/>
      <c r="J38" s="860">
        <f>Q37</f>
        <v>47387.9</v>
      </c>
      <c r="K38" s="860"/>
      <c r="L38" s="860"/>
      <c r="M38" s="310"/>
      <c r="N38" s="998" t="s">
        <v>15</v>
      </c>
      <c r="O38" s="998"/>
      <c r="P38" s="860">
        <f>Q21-Q37</f>
        <v>286356.09999999998</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293528</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293530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4353</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0</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0</v>
      </c>
      <c r="V43" s="949"/>
      <c r="W43" s="949"/>
      <c r="X43" s="1067" t="s">
        <v>84</v>
      </c>
      <c r="Y43" s="1067"/>
      <c r="Z43" s="1067"/>
      <c r="AA43" s="953">
        <f>ROUND((AD42*1%),0)</f>
        <v>0</v>
      </c>
      <c r="AB43" s="953"/>
      <c r="AC43" s="953"/>
      <c r="AD43" s="951">
        <f>U43+AA43</f>
        <v>0</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0</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IF('Emp.-Detail'!F28="NO",0,ROUND(E21+K21,0))</f>
        <v>0</v>
      </c>
      <c r="Q46" s="943"/>
      <c r="R46" s="22"/>
      <c r="S46" s="1071" t="s">
        <v>87</v>
      </c>
      <c r="T46" s="1072"/>
      <c r="U46" s="1072"/>
      <c r="V46" s="1072"/>
      <c r="W46" s="1072"/>
      <c r="X46" s="1072"/>
      <c r="Y46" s="1072"/>
      <c r="Z46" s="1072"/>
      <c r="AA46" s="1072"/>
      <c r="AB46" s="1072"/>
      <c r="AC46" s="1072"/>
      <c r="AD46" s="796">
        <f>AD44-AD45</f>
        <v>0</v>
      </c>
      <c r="AE46" s="860"/>
      <c r="AF46" s="861"/>
      <c r="AG46" s="17"/>
    </row>
    <row r="47" spans="1:33" ht="19.5" customHeight="1">
      <c r="A47" s="871" t="s">
        <v>16</v>
      </c>
      <c r="B47" s="872"/>
      <c r="C47" s="872"/>
      <c r="D47" s="872"/>
      <c r="E47" s="872"/>
      <c r="F47" s="872"/>
      <c r="G47" s="872"/>
      <c r="H47" s="872"/>
      <c r="I47" s="872"/>
      <c r="J47" s="872"/>
      <c r="K47" s="268"/>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65"/>
      <c r="F48" s="828" t="s">
        <v>106</v>
      </c>
      <c r="G48" s="829"/>
      <c r="H48" s="824"/>
      <c r="I48" s="862">
        <v>0</v>
      </c>
      <c r="J48" s="863"/>
      <c r="K48" s="265"/>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65"/>
      <c r="F49" s="828" t="s">
        <v>188</v>
      </c>
      <c r="G49" s="829"/>
      <c r="H49" s="824"/>
      <c r="I49" s="862">
        <v>0</v>
      </c>
      <c r="J49" s="863"/>
      <c r="K49" s="265"/>
      <c r="L49" s="1194" t="s">
        <v>194</v>
      </c>
      <c r="M49" s="1194"/>
      <c r="N49" s="1194"/>
      <c r="O49" s="1020">
        <v>0</v>
      </c>
      <c r="P49" s="1020"/>
      <c r="Q49" s="267">
        <v>0</v>
      </c>
      <c r="R49" s="176"/>
      <c r="S49" s="1080">
        <f>SUM(O25:O27)</f>
        <v>0</v>
      </c>
      <c r="T49" s="1081"/>
      <c r="U49" s="1081"/>
      <c r="V49" s="1070">
        <f>SUM(O28:O30)</f>
        <v>0</v>
      </c>
      <c r="W49" s="1070"/>
      <c r="X49" s="1070"/>
      <c r="Y49" s="1070">
        <f>SUM(O31:O33)</f>
        <v>0</v>
      </c>
      <c r="Z49" s="1070"/>
      <c r="AA49" s="1070"/>
      <c r="AB49" s="951">
        <f>SUM(O34:O36)</f>
        <v>0</v>
      </c>
      <c r="AC49" s="951"/>
      <c r="AD49" s="951"/>
      <c r="AE49" s="951"/>
      <c r="AF49" s="199"/>
      <c r="AG49" s="17"/>
    </row>
    <row r="50" spans="1:35" ht="19.5" customHeight="1">
      <c r="A50" s="823" t="s">
        <v>79</v>
      </c>
      <c r="B50" s="824"/>
      <c r="C50" s="1020">
        <v>0</v>
      </c>
      <c r="D50" s="1020"/>
      <c r="E50" s="259"/>
      <c r="F50" s="828" t="s">
        <v>81</v>
      </c>
      <c r="G50" s="829"/>
      <c r="H50" s="824"/>
      <c r="I50" s="1020">
        <v>0</v>
      </c>
      <c r="J50" s="862"/>
      <c r="K50" s="259"/>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0</v>
      </c>
      <c r="AE50" s="796"/>
      <c r="AF50" s="797"/>
      <c r="AG50" s="17"/>
    </row>
    <row r="51" spans="1:35" ht="19.5" customHeight="1">
      <c r="A51" s="823" t="s">
        <v>80</v>
      </c>
      <c r="B51" s="824"/>
      <c r="C51" s="862">
        <v>0</v>
      </c>
      <c r="D51" s="864"/>
      <c r="E51" s="266"/>
      <c r="F51" s="828" t="s">
        <v>142</v>
      </c>
      <c r="G51" s="829"/>
      <c r="H51" s="824"/>
      <c r="I51" s="1020">
        <v>0</v>
      </c>
      <c r="J51" s="862"/>
      <c r="K51" s="259"/>
      <c r="L51" s="870" t="s">
        <v>196</v>
      </c>
      <c r="M51" s="870"/>
      <c r="N51" s="870"/>
      <c r="O51" s="1020">
        <v>0</v>
      </c>
      <c r="P51" s="1020"/>
      <c r="Q51" s="1022"/>
      <c r="R51" s="70"/>
      <c r="S51" s="1065" t="s">
        <v>89</v>
      </c>
      <c r="T51" s="1066"/>
      <c r="U51" s="1066"/>
      <c r="V51" s="1066"/>
      <c r="W51" s="1066"/>
      <c r="X51" s="1066"/>
      <c r="Y51" s="1066"/>
      <c r="Z51" s="1066"/>
      <c r="AA51" s="1066"/>
      <c r="AB51" s="1066"/>
      <c r="AC51" s="1066"/>
      <c r="AD51" s="951" t="str">
        <f>IF(AD46&gt;AD50,AD46-AD50,"0")</f>
        <v>0</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59"/>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59"/>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74"/>
      <c r="L55" s="1175" t="s">
        <v>198</v>
      </c>
      <c r="M55" s="1175"/>
      <c r="N55" s="1175"/>
      <c r="O55" s="1177">
        <v>0</v>
      </c>
      <c r="P55" s="1177"/>
      <c r="Q55" s="1023"/>
      <c r="R55" s="70"/>
      <c r="S55" s="1202"/>
      <c r="T55" s="1203"/>
      <c r="U55" s="1203"/>
      <c r="V55" s="1203"/>
      <c r="W55" s="765"/>
      <c r="X55" s="765"/>
      <c r="Y55" s="765"/>
      <c r="Z55" s="765"/>
      <c r="AA55" s="765"/>
      <c r="AB55" s="1203" t="str">
        <f>S3</f>
        <v>VINOD KUMAR SHARMA</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333744</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333744</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333744</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VINOD KUMAR SHARMA</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CJOPK0625C</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9828662685</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333744</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'Emp.-Detail'!O28</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3996</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90747</v>
      </c>
      <c r="K69" s="788"/>
      <c r="L69" s="788"/>
      <c r="M69" s="776"/>
      <c r="N69" s="775">
        <f>SUM(O25:O27)</f>
        <v>0</v>
      </c>
      <c r="O69" s="776"/>
      <c r="P69" s="775">
        <f>N69</f>
        <v>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80707</v>
      </c>
      <c r="K70" s="788"/>
      <c r="L70" s="788"/>
      <c r="M70" s="776"/>
      <c r="N70" s="775">
        <f>SUM(O28:O30)</f>
        <v>0</v>
      </c>
      <c r="O70" s="776"/>
      <c r="P70" s="775">
        <f>N70</f>
        <v>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80807</v>
      </c>
      <c r="K71" s="788"/>
      <c r="L71" s="788"/>
      <c r="M71" s="776"/>
      <c r="N71" s="775">
        <f>SUM(O31:O33)</f>
        <v>0</v>
      </c>
      <c r="O71" s="776"/>
      <c r="P71" s="775">
        <f t="shared" ref="P71:P72" si="13">N71</f>
        <v>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81483</v>
      </c>
      <c r="K72" s="788"/>
      <c r="L72" s="788"/>
      <c r="M72" s="776"/>
      <c r="N72" s="775">
        <f>SUM(O34:O36)</f>
        <v>0</v>
      </c>
      <c r="O72" s="776"/>
      <c r="P72" s="775">
        <f t="shared" si="13"/>
        <v>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333744</v>
      </c>
      <c r="K73" s="808"/>
      <c r="L73" s="808"/>
      <c r="M73" s="809"/>
      <c r="N73" s="845">
        <f>SUM(N69:N72)</f>
        <v>0</v>
      </c>
      <c r="O73" s="809"/>
      <c r="P73" s="845">
        <f>SUM(P69:P72)</f>
        <v>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0</v>
      </c>
      <c r="E76" s="219"/>
      <c r="F76" s="219">
        <f>O26</f>
        <v>0</v>
      </c>
      <c r="G76" s="219">
        <f>O27</f>
        <v>0</v>
      </c>
      <c r="H76" s="219">
        <f>O28</f>
        <v>0</v>
      </c>
      <c r="I76" s="219">
        <f>O29</f>
        <v>0</v>
      </c>
      <c r="J76" s="219">
        <f>O30</f>
        <v>0</v>
      </c>
      <c r="K76" s="219"/>
      <c r="L76" s="219">
        <f>O31</f>
        <v>0</v>
      </c>
      <c r="M76" s="219">
        <f>O32</f>
        <v>0</v>
      </c>
      <c r="N76" s="219">
        <f>O33</f>
        <v>0</v>
      </c>
      <c r="O76" s="219">
        <f>O34</f>
        <v>0</v>
      </c>
      <c r="P76" s="219">
        <f>O35</f>
        <v>0</v>
      </c>
      <c r="Q76" s="220">
        <f>O36</f>
        <v>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40216</v>
      </c>
      <c r="AC81" s="1113"/>
      <c r="AD81" s="773">
        <f>AD26</f>
        <v>40216</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'Emp.-Detail'!N28</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'Emp.-Detail'!N28</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'Emp.-Detail'!N28</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'Emp.-Detail'!J28</f>
        <v>0</v>
      </c>
      <c r="C87" s="788"/>
      <c r="D87" s="776"/>
      <c r="E87" s="257"/>
      <c r="F87" s="1233" t="str">
        <f>'Emp.-Detail'!K28</f>
        <v>0</v>
      </c>
      <c r="G87" s="791"/>
      <c r="H87" s="791"/>
      <c r="I87" s="792"/>
      <c r="J87" s="810" t="str">
        <f>'Emp.-Detail'!L28</f>
        <v>00/00/0000</v>
      </c>
      <c r="K87" s="811"/>
      <c r="L87" s="811"/>
      <c r="M87" s="812"/>
      <c r="N87" s="1233" t="str">
        <f>'Emp.-Detail'!M28</f>
        <v>00</v>
      </c>
      <c r="O87" s="792"/>
      <c r="P87" s="793" t="str">
        <f>'Emp.-Detail'!N28</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40216</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293530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0</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0</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0</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0</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333744</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333744</v>
      </c>
      <c r="P104" s="776"/>
      <c r="Q104" s="258">
        <f>O104</f>
        <v>333744</v>
      </c>
      <c r="R104" s="235"/>
      <c r="S104" s="254"/>
      <c r="T104" s="229" t="str">
        <f>'DDO '!L10</f>
        <v>PRINCIPAL</v>
      </c>
      <c r="U104" s="229"/>
      <c r="V104" s="780" t="s">
        <v>51</v>
      </c>
      <c r="W104" s="780"/>
      <c r="X104" s="780"/>
      <c r="Y104" s="780"/>
      <c r="Z104" s="770">
        <f>AD100</f>
        <v>0</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333744</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333744</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333744</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9"/>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O52:P52"/>
    <mergeCell ref="S52:AC52"/>
    <mergeCell ref="AD52:AF52"/>
    <mergeCell ref="O50:P50"/>
    <mergeCell ref="Q50:Q55"/>
    <mergeCell ref="S50:AC50"/>
    <mergeCell ref="AD50:AF50"/>
    <mergeCell ref="A51:B51"/>
    <mergeCell ref="C51:D51"/>
    <mergeCell ref="I51:J51"/>
    <mergeCell ref="L51:N51"/>
    <mergeCell ref="O51:P51"/>
    <mergeCell ref="F50:H50"/>
    <mergeCell ref="F51:H51"/>
    <mergeCell ref="F52:J52"/>
    <mergeCell ref="A53:H53"/>
    <mergeCell ref="A54:H54"/>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A50:B50"/>
    <mergeCell ref="C50:D50"/>
    <mergeCell ref="I50:J50"/>
    <mergeCell ref="L50:N50"/>
    <mergeCell ref="S51:AC51"/>
    <mergeCell ref="AD51:AF51"/>
    <mergeCell ref="A52:B52"/>
    <mergeCell ref="C52:D52"/>
    <mergeCell ref="L52:N52"/>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98:Q98"/>
    <mergeCell ref="S98:AC98"/>
    <mergeCell ref="AD98:AE98"/>
    <mergeCell ref="A99:Q99"/>
    <mergeCell ref="S99:AC99"/>
    <mergeCell ref="AD99:AE99"/>
    <mergeCell ref="AD96:AE96"/>
    <mergeCell ref="A97:J97"/>
    <mergeCell ref="L97:M97"/>
    <mergeCell ref="N97:Q97"/>
    <mergeCell ref="S97:AC97"/>
    <mergeCell ref="AD97:AE97"/>
    <mergeCell ref="A100:L100"/>
    <mergeCell ref="M100:N100"/>
    <mergeCell ref="O100:P103"/>
    <mergeCell ref="Q100:Q103"/>
    <mergeCell ref="S100:AC100"/>
    <mergeCell ref="AD100:AE100"/>
    <mergeCell ref="A101:L101"/>
    <mergeCell ref="M101:N101"/>
    <mergeCell ref="S101:AE101"/>
    <mergeCell ref="A102:L102"/>
    <mergeCell ref="M110:P110"/>
    <mergeCell ref="S110:T110"/>
    <mergeCell ref="U110:W110"/>
    <mergeCell ref="D111:I111"/>
    <mergeCell ref="M102:N102"/>
    <mergeCell ref="S102:AE102"/>
    <mergeCell ref="A103:L103"/>
    <mergeCell ref="M103:N103"/>
    <mergeCell ref="T103:V103"/>
    <mergeCell ref="W103:Y103"/>
    <mergeCell ref="Z103:AB103"/>
    <mergeCell ref="AC103:AE103"/>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A1:D1"/>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J111:L111"/>
    <mergeCell ref="M111:N111"/>
    <mergeCell ref="A104:L104"/>
    <mergeCell ref="M104:N107"/>
    <mergeCell ref="O104:P10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worksheet>
</file>

<file path=xl/worksheets/sheet25.xml><?xml version="1.0" encoding="utf-8"?>
<worksheet xmlns="http://schemas.openxmlformats.org/spreadsheetml/2006/main" xmlns:r="http://schemas.openxmlformats.org/officeDocument/2006/relationships">
  <dimension ref="A1:V41"/>
  <sheetViews>
    <sheetView workbookViewId="0">
      <selection sqref="A1:B1"/>
    </sheetView>
  </sheetViews>
  <sheetFormatPr defaultColWidth="0" defaultRowHeight="15" zeroHeight="1"/>
  <cols>
    <col min="1" max="1" width="4.42578125" style="50" customWidth="1"/>
    <col min="2" max="2" width="29.85546875" style="50" customWidth="1"/>
    <col min="3" max="3" width="14.5703125" style="50" customWidth="1"/>
    <col min="4" max="4" width="15.140625" style="50" customWidth="1"/>
    <col min="5" max="5" width="10" style="50" customWidth="1"/>
    <col min="6" max="6" width="6.7109375" style="50" customWidth="1"/>
    <col min="7" max="8" width="9.140625" style="50" customWidth="1"/>
    <col min="9" max="9" width="7.28515625" style="50" customWidth="1"/>
    <col min="10" max="10" width="8.140625" style="50" customWidth="1"/>
    <col min="11" max="11" width="9.140625" style="50" customWidth="1"/>
    <col min="12" max="12" width="7.5703125" style="50" customWidth="1"/>
    <col min="13" max="13" width="9.140625" style="50" customWidth="1"/>
    <col min="14" max="14" width="10" style="50" customWidth="1"/>
    <col min="15" max="15" width="8.140625" style="50" customWidth="1"/>
    <col min="16" max="16" width="9.140625" style="50" customWidth="1"/>
    <col min="17" max="17" width="1.28515625" style="50" customWidth="1"/>
    <col min="18" max="22" width="0" style="50" hidden="1" customWidth="1"/>
    <col min="23" max="16384" width="9.140625" style="50" hidden="1"/>
  </cols>
  <sheetData>
    <row r="1" spans="1:22" s="765" customFormat="1" ht="15.75" customHeight="1" thickBot="1">
      <c r="A1" s="1275" t="s">
        <v>403</v>
      </c>
      <c r="B1" s="1275"/>
      <c r="C1" s="580"/>
      <c r="D1" s="580"/>
      <c r="E1" s="580"/>
      <c r="F1" s="580"/>
      <c r="G1" s="580"/>
      <c r="H1" s="580"/>
      <c r="I1" s="580"/>
      <c r="J1" s="580"/>
      <c r="K1" s="580"/>
      <c r="L1" s="580"/>
      <c r="M1" s="580"/>
      <c r="N1" s="580"/>
      <c r="O1" s="580"/>
      <c r="P1" s="580"/>
      <c r="Q1" s="580"/>
      <c r="R1" s="580"/>
      <c r="S1" s="580"/>
      <c r="T1" s="580"/>
      <c r="U1" s="580"/>
      <c r="V1" s="580"/>
    </row>
    <row r="2" spans="1:22" ht="20.100000000000001" customHeight="1">
      <c r="A2" s="1278" t="str">
        <f>'Emp.-Detail'!A2</f>
        <v xml:space="preserve">Office Name:- </v>
      </c>
      <c r="B2" s="1279"/>
      <c r="C2" s="1279"/>
      <c r="D2" s="1279"/>
      <c r="E2" s="1280" t="str">
        <f>'DDO '!B2</f>
        <v>GOVT.SEC.SCHOOL DEWANI</v>
      </c>
      <c r="F2" s="1280"/>
      <c r="G2" s="1280"/>
      <c r="H2" s="1280"/>
      <c r="I2" s="1280"/>
      <c r="J2" s="1280"/>
      <c r="K2" s="1280"/>
      <c r="L2" s="1280"/>
      <c r="M2" s="1280"/>
      <c r="N2" s="1280"/>
      <c r="O2" s="1280"/>
      <c r="P2" s="1281"/>
    </row>
    <row r="3" spans="1:22" ht="18" customHeight="1">
      <c r="A3" s="1272" t="str">
        <f>'DDO '!A3</f>
        <v xml:space="preserve">Financial Year :- </v>
      </c>
      <c r="B3" s="847"/>
      <c r="C3" s="847" t="str">
        <f>'DDO '!B3</f>
        <v>2016-17</v>
      </c>
      <c r="D3" s="847"/>
      <c r="E3" s="1277" t="s">
        <v>270</v>
      </c>
      <c r="F3" s="1277"/>
      <c r="G3" s="1277"/>
      <c r="H3" s="1277"/>
      <c r="I3" s="1277"/>
      <c r="J3" s="847" t="str">
        <f>'DDO '!F3</f>
        <v>Assessment Year :-</v>
      </c>
      <c r="K3" s="847"/>
      <c r="L3" s="847"/>
      <c r="M3" s="847"/>
      <c r="N3" s="847" t="str">
        <f>'DDO '!G3</f>
        <v>2017-18</v>
      </c>
      <c r="O3" s="847"/>
      <c r="P3" s="1276"/>
    </row>
    <row r="4" spans="1:22" ht="18" customHeight="1">
      <c r="A4" s="410"/>
      <c r="B4" s="1119"/>
      <c r="C4" s="1119"/>
      <c r="D4" s="1119"/>
      <c r="E4" s="847" t="s">
        <v>269</v>
      </c>
      <c r="F4" s="847"/>
      <c r="G4" s="847"/>
      <c r="H4" s="847"/>
      <c r="I4" s="847"/>
      <c r="J4" s="1119"/>
      <c r="K4" s="1119"/>
      <c r="L4" s="1119"/>
      <c r="M4" s="1119"/>
      <c r="N4" s="1119"/>
      <c r="O4" s="1119"/>
      <c r="P4" s="411"/>
    </row>
    <row r="5" spans="1:22" ht="18" customHeight="1">
      <c r="A5" s="891" t="s">
        <v>268</v>
      </c>
      <c r="B5" s="780"/>
      <c r="C5" s="780"/>
      <c r="D5" s="780"/>
      <c r="E5" s="780"/>
      <c r="F5" s="780"/>
      <c r="G5" s="780"/>
      <c r="H5" s="780"/>
      <c r="I5" s="780"/>
      <c r="J5" s="780"/>
      <c r="K5" s="780"/>
      <c r="L5" s="780"/>
      <c r="M5" s="780"/>
      <c r="N5" s="780"/>
      <c r="O5" s="780"/>
      <c r="P5" s="781"/>
    </row>
    <row r="6" spans="1:22" ht="15" customHeight="1">
      <c r="A6" s="1254" t="s">
        <v>271</v>
      </c>
      <c r="B6" s="1255"/>
      <c r="C6" s="1255"/>
      <c r="D6" s="1255"/>
      <c r="E6" s="1255"/>
      <c r="F6" s="1255"/>
      <c r="G6" s="1255"/>
      <c r="H6" s="1255"/>
      <c r="I6" s="1255"/>
      <c r="J6" s="1255"/>
      <c r="K6" s="1255"/>
      <c r="L6" s="1255"/>
      <c r="M6" s="1255"/>
      <c r="N6" s="1255"/>
      <c r="O6" s="1255"/>
      <c r="P6" s="1256"/>
    </row>
    <row r="7" spans="1:22" ht="18" customHeight="1">
      <c r="A7" s="1272" t="str">
        <f>'DDO '!A8</f>
        <v>Name of Deducter :-</v>
      </c>
      <c r="B7" s="847"/>
      <c r="C7" s="847" t="str">
        <f>'DDO '!B8</f>
        <v>MADAN LAL PILANIYA</v>
      </c>
      <c r="D7" s="847"/>
      <c r="E7" s="847" t="str">
        <f>'DDO '!A10</f>
        <v>Designation of Deducter :-</v>
      </c>
      <c r="F7" s="847"/>
      <c r="G7" s="847"/>
      <c r="H7" s="847" t="str">
        <f>'DDO '!B10</f>
        <v>HEADMASTER</v>
      </c>
      <c r="I7" s="847"/>
      <c r="J7" s="847"/>
      <c r="K7" s="847" t="str">
        <f>'DDO '!A11</f>
        <v>PAN No.  of  Deducter :-</v>
      </c>
      <c r="L7" s="847"/>
      <c r="M7" s="847"/>
      <c r="N7" s="847" t="str">
        <f>'DDO '!B11</f>
        <v>AQPPP7545Q</v>
      </c>
      <c r="O7" s="847"/>
      <c r="P7" s="1276"/>
    </row>
    <row r="8" spans="1:22" ht="18" customHeight="1">
      <c r="A8" s="1272" t="str">
        <f>'DDO '!A9</f>
        <v>Father`s Name of Deducter :-</v>
      </c>
      <c r="B8" s="847"/>
      <c r="C8" s="847" t="str">
        <f>'DDO '!B9</f>
        <v>RAMDEVA RAM PILANIYA</v>
      </c>
      <c r="D8" s="847"/>
      <c r="E8" s="847" t="str">
        <f>'DDO '!A16</f>
        <v>Mobile no. of Deducter :-</v>
      </c>
      <c r="F8" s="847"/>
      <c r="G8" s="847"/>
      <c r="H8" s="847" t="str">
        <f>'DDO '!B16</f>
        <v>9928390871</v>
      </c>
      <c r="I8" s="847"/>
      <c r="J8" s="847"/>
      <c r="K8" s="847" t="str">
        <f>'DDO '!A13</f>
        <v>TAN  No. of  Office :-</v>
      </c>
      <c r="L8" s="847"/>
      <c r="M8" s="847"/>
      <c r="N8" s="847">
        <f>'DDO '!B13</f>
        <v>0</v>
      </c>
      <c r="O8" s="847"/>
      <c r="P8" s="1276"/>
      <c r="S8" s="70"/>
      <c r="V8" s="70"/>
    </row>
    <row r="9" spans="1:22" ht="18" customHeight="1">
      <c r="A9" s="1292"/>
      <c r="B9" s="1115"/>
      <c r="C9" s="847" t="str">
        <f>'DDO '!A14</f>
        <v>E-mail ID of Office :-</v>
      </c>
      <c r="D9" s="847"/>
      <c r="E9" s="847"/>
      <c r="F9" s="847"/>
      <c r="G9" s="793"/>
      <c r="H9" s="792" t="str">
        <f>'DDO '!B14</f>
        <v>gssdewani@gmail.com</v>
      </c>
      <c r="I9" s="847"/>
      <c r="J9" s="847"/>
      <c r="K9" s="847"/>
      <c r="L9" s="847"/>
      <c r="M9" s="847"/>
      <c r="N9" s="1115"/>
      <c r="O9" s="1115"/>
      <c r="P9" s="1293"/>
    </row>
    <row r="10" spans="1:22" ht="15.75" thickBot="1">
      <c r="A10" s="1201"/>
      <c r="B10" s="1200"/>
      <c r="C10" s="1200"/>
      <c r="D10" s="1200"/>
      <c r="E10" s="1200"/>
      <c r="F10" s="1200"/>
      <c r="G10" s="1200"/>
      <c r="H10" s="1200"/>
      <c r="I10" s="1200"/>
      <c r="J10" s="1200"/>
      <c r="K10" s="1200"/>
      <c r="L10" s="1200"/>
      <c r="M10" s="1200"/>
      <c r="N10" s="1200"/>
      <c r="O10" s="1200"/>
      <c r="P10" s="1294"/>
      <c r="T10" s="70"/>
    </row>
    <row r="11" spans="1:22" ht="15" customHeight="1">
      <c r="A11" s="1289" t="s">
        <v>208</v>
      </c>
      <c r="B11" s="1297" t="s">
        <v>209</v>
      </c>
      <c r="C11" s="1297" t="s">
        <v>214</v>
      </c>
      <c r="D11" s="1269" t="s">
        <v>259</v>
      </c>
      <c r="E11" s="1268" t="s">
        <v>260</v>
      </c>
      <c r="F11" s="1268"/>
      <c r="G11" s="1268"/>
      <c r="H11" s="1268" t="s">
        <v>261</v>
      </c>
      <c r="I11" s="1268"/>
      <c r="J11" s="1268"/>
      <c r="K11" s="1268" t="s">
        <v>262</v>
      </c>
      <c r="L11" s="1268"/>
      <c r="M11" s="1268"/>
      <c r="N11" s="1259" t="s">
        <v>334</v>
      </c>
      <c r="O11" s="1262" t="s">
        <v>267</v>
      </c>
      <c r="P11" s="1265" t="s">
        <v>265</v>
      </c>
    </row>
    <row r="12" spans="1:22" ht="15" customHeight="1">
      <c r="A12" s="1290"/>
      <c r="B12" s="1298"/>
      <c r="C12" s="1298"/>
      <c r="D12" s="1270"/>
      <c r="E12" s="1257" t="s">
        <v>266</v>
      </c>
      <c r="F12" s="1287" t="s">
        <v>263</v>
      </c>
      <c r="G12" s="1257" t="s">
        <v>264</v>
      </c>
      <c r="H12" s="1257" t="s">
        <v>266</v>
      </c>
      <c r="I12" s="1287" t="s">
        <v>263</v>
      </c>
      <c r="J12" s="1257" t="s">
        <v>264</v>
      </c>
      <c r="K12" s="1257" t="s">
        <v>266</v>
      </c>
      <c r="L12" s="1287" t="s">
        <v>263</v>
      </c>
      <c r="M12" s="1257" t="s">
        <v>264</v>
      </c>
      <c r="N12" s="1260"/>
      <c r="O12" s="1263"/>
      <c r="P12" s="1266"/>
    </row>
    <row r="13" spans="1:22" ht="15.75" thickBot="1">
      <c r="A13" s="1291"/>
      <c r="B13" s="1299"/>
      <c r="C13" s="1299"/>
      <c r="D13" s="1271"/>
      <c r="E13" s="1258"/>
      <c r="F13" s="1288"/>
      <c r="G13" s="1258"/>
      <c r="H13" s="1258"/>
      <c r="I13" s="1288"/>
      <c r="J13" s="1258"/>
      <c r="K13" s="1258"/>
      <c r="L13" s="1288"/>
      <c r="M13" s="1258"/>
      <c r="N13" s="1261"/>
      <c r="O13" s="1264"/>
      <c r="P13" s="1267"/>
    </row>
    <row r="14" spans="1:22" ht="20.45" customHeight="1">
      <c r="A14" s="71">
        <f>'Emp.-Detail'!A9</f>
        <v>1</v>
      </c>
      <c r="B14" s="72" t="str">
        <f>'Emp.-Detail'!B9</f>
        <v>MADAN LAL PILANIYA</v>
      </c>
      <c r="C14" s="72" t="str">
        <f>'Emp.-Detail'!C9</f>
        <v>HEADMASTER</v>
      </c>
      <c r="D14" s="73" t="str">
        <f>'Emp.-Detail'!D9</f>
        <v>AQPPP7545Q</v>
      </c>
      <c r="E14" s="74">
        <f>'Emp-1'!Q9</f>
        <v>48090</v>
      </c>
      <c r="F14" s="75">
        <f>'Emp-1'!P9</f>
        <v>0</v>
      </c>
      <c r="G14" s="74">
        <f>'Emp-1'!O25</f>
        <v>1000</v>
      </c>
      <c r="H14" s="74">
        <f>'Emp-1'!Q10</f>
        <v>120694</v>
      </c>
      <c r="I14" s="75">
        <f>'Emp-1'!P10</f>
        <v>0</v>
      </c>
      <c r="J14" s="74">
        <f>'Emp-1'!O26</f>
        <v>1000</v>
      </c>
      <c r="K14" s="74">
        <f>'Emp-1'!Q11</f>
        <v>49350</v>
      </c>
      <c r="L14" s="75">
        <f>'Emp-1'!P11</f>
        <v>0</v>
      </c>
      <c r="M14" s="74">
        <f>'Emp-1'!O27</f>
        <v>1000</v>
      </c>
      <c r="N14" s="76">
        <f>E14+H14+K14</f>
        <v>218134</v>
      </c>
      <c r="O14" s="77">
        <f>F14+I14+L14</f>
        <v>0</v>
      </c>
      <c r="P14" s="78">
        <f>G14+J14+M14</f>
        <v>3000</v>
      </c>
      <c r="Q14" s="70"/>
    </row>
    <row r="15" spans="1:22" ht="20.45" customHeight="1">
      <c r="A15" s="79">
        <f>'Emp.-Detail'!A10</f>
        <v>2</v>
      </c>
      <c r="B15" s="80" t="str">
        <f>'Emp.-Detail'!B10</f>
        <v>JAGADISH PRASAD CHOUHAN</v>
      </c>
      <c r="C15" s="80" t="str">
        <f>'Emp.-Detail'!C10</f>
        <v>Lecturer</v>
      </c>
      <c r="D15" s="81" t="str">
        <f>'Emp.-Detail'!D10</f>
        <v>ABPPC0835K</v>
      </c>
      <c r="E15" s="74">
        <f>'Emp-2'!Q9</f>
        <v>62393</v>
      </c>
      <c r="F15" s="75">
        <f>'Emp-2'!P9</f>
        <v>0</v>
      </c>
      <c r="G15" s="74">
        <f>'Emp-2'!O25</f>
        <v>3500</v>
      </c>
      <c r="H15" s="74">
        <f>'Emp-2'!Q10</f>
        <v>59361</v>
      </c>
      <c r="I15" s="75">
        <f>'Emp-2'!P10</f>
        <v>0</v>
      </c>
      <c r="J15" s="74">
        <f>'Emp-2'!O26</f>
        <v>3500</v>
      </c>
      <c r="K15" s="74">
        <f>'Emp-2'!Q11</f>
        <v>59361</v>
      </c>
      <c r="L15" s="75">
        <f>'Emp-2'!P11</f>
        <v>0</v>
      </c>
      <c r="M15" s="74">
        <f>'Emp-2'!O27</f>
        <v>3500</v>
      </c>
      <c r="N15" s="82">
        <f t="shared" ref="N15:N31" si="0">E15+H15+K15</f>
        <v>181115</v>
      </c>
      <c r="O15" s="83">
        <f t="shared" ref="O15:O31" si="1">F15+I15+L15</f>
        <v>0</v>
      </c>
      <c r="P15" s="84">
        <f t="shared" ref="P15:P31" si="2">G15+J15+M15</f>
        <v>10500</v>
      </c>
    </row>
    <row r="16" spans="1:22" ht="20.45" customHeight="1">
      <c r="A16" s="79">
        <f>'Emp.-Detail'!A11</f>
        <v>3</v>
      </c>
      <c r="B16" s="80" t="str">
        <f>'Emp.-Detail'!B11</f>
        <v>RAM PRASHAD SHARMA</v>
      </c>
      <c r="C16" s="80" t="str">
        <f>'Emp.-Detail'!C11</f>
        <v>Lecturer</v>
      </c>
      <c r="D16" s="81" t="str">
        <f>'Emp.-Detail'!D11</f>
        <v>AGDPS0116J</v>
      </c>
      <c r="E16" s="74">
        <f>'Emp-3'!Q9</f>
        <v>89013</v>
      </c>
      <c r="F16" s="75">
        <f>'Emp-3'!P9</f>
        <v>0</v>
      </c>
      <c r="G16" s="74">
        <f>'Emp-3'!O25</f>
        <v>2000</v>
      </c>
      <c r="H16" s="74">
        <f>'Emp-3'!Q10</f>
        <v>58186</v>
      </c>
      <c r="I16" s="75">
        <f>'Emp-3'!P10</f>
        <v>0</v>
      </c>
      <c r="J16" s="74">
        <f>'Emp-3'!O26</f>
        <v>2000</v>
      </c>
      <c r="K16" s="74">
        <f>'Emp-3'!Q11</f>
        <v>58186</v>
      </c>
      <c r="L16" s="75">
        <f>'Emp-3'!P11</f>
        <v>0</v>
      </c>
      <c r="M16" s="74">
        <f>'Emp-3'!O27</f>
        <v>2000</v>
      </c>
      <c r="N16" s="82">
        <f t="shared" si="0"/>
        <v>205385</v>
      </c>
      <c r="O16" s="83">
        <f t="shared" si="1"/>
        <v>0</v>
      </c>
      <c r="P16" s="84">
        <f t="shared" si="2"/>
        <v>6000</v>
      </c>
    </row>
    <row r="17" spans="1:16" ht="20.45" customHeight="1">
      <c r="A17" s="79">
        <f>'Emp.-Detail'!A12</f>
        <v>4</v>
      </c>
      <c r="B17" s="80" t="str">
        <f>'Emp.-Detail'!B12</f>
        <v>BHAGIRATH GURDA</v>
      </c>
      <c r="C17" s="80" t="str">
        <f>'Emp.-Detail'!C12</f>
        <v>Lecturer</v>
      </c>
      <c r="D17" s="81" t="str">
        <f>'Emp.-Detail'!D12</f>
        <v>ADZPG8777C</v>
      </c>
      <c r="E17" s="74">
        <f>'Emp-4'!Q9</f>
        <v>82369</v>
      </c>
      <c r="F17" s="75">
        <f>'Emp-4'!P9</f>
        <v>0</v>
      </c>
      <c r="G17" s="74">
        <f>'Emp-4'!O25</f>
        <v>2000</v>
      </c>
      <c r="H17" s="74">
        <f>'Emp-4'!Q10</f>
        <v>55836</v>
      </c>
      <c r="I17" s="75">
        <f>'Emp-4'!P10</f>
        <v>0</v>
      </c>
      <c r="J17" s="74">
        <f>'Emp-4'!O26</f>
        <v>2000</v>
      </c>
      <c r="K17" s="74">
        <f>'Emp-4'!Q11</f>
        <v>55836</v>
      </c>
      <c r="L17" s="75">
        <f>'Emp-4'!P11</f>
        <v>0</v>
      </c>
      <c r="M17" s="74">
        <f>'Emp-4'!O27</f>
        <v>3000</v>
      </c>
      <c r="N17" s="82">
        <f t="shared" si="0"/>
        <v>194041</v>
      </c>
      <c r="O17" s="83">
        <f t="shared" si="1"/>
        <v>0</v>
      </c>
      <c r="P17" s="84">
        <f t="shared" si="2"/>
        <v>7000</v>
      </c>
    </row>
    <row r="18" spans="1:16" ht="20.45" customHeight="1">
      <c r="A18" s="79">
        <f>'Emp.-Detail'!A13</f>
        <v>5</v>
      </c>
      <c r="B18" s="80" t="str">
        <f>'Emp.-Detail'!B13</f>
        <v xml:space="preserve">DEVKRAN SINGH </v>
      </c>
      <c r="C18" s="80" t="str">
        <f>'Emp.-Detail'!C13</f>
        <v>Lecturer</v>
      </c>
      <c r="D18" s="81" t="str">
        <f>'Emp.-Detail'!D13</f>
        <v>AMCPS4395J</v>
      </c>
      <c r="E18" s="74">
        <f>'Emp-5'!Q9</f>
        <v>85418</v>
      </c>
      <c r="F18" s="75">
        <f>'Emp-5'!P9</f>
        <v>0</v>
      </c>
      <c r="G18" s="74">
        <f>'Emp-5'!O25</f>
        <v>2600</v>
      </c>
      <c r="H18" s="74">
        <f>'Emp-5'!Q10</f>
        <v>55836</v>
      </c>
      <c r="I18" s="75">
        <f>'Emp-5'!P10</f>
        <v>0</v>
      </c>
      <c r="J18" s="74">
        <f>'Emp-5'!O26</f>
        <v>3000</v>
      </c>
      <c r="K18" s="74">
        <f>'Emp-5'!Q11</f>
        <v>55836</v>
      </c>
      <c r="L18" s="75">
        <f>'Emp-5'!P11</f>
        <v>0</v>
      </c>
      <c r="M18" s="74">
        <f>'Emp-5'!O27</f>
        <v>3000</v>
      </c>
      <c r="N18" s="82">
        <f t="shared" si="0"/>
        <v>197090</v>
      </c>
      <c r="O18" s="83">
        <f t="shared" si="1"/>
        <v>0</v>
      </c>
      <c r="P18" s="84">
        <f t="shared" si="2"/>
        <v>8600</v>
      </c>
    </row>
    <row r="19" spans="1:16" ht="20.45" customHeight="1">
      <c r="A19" s="79">
        <f>'Emp.-Detail'!A14</f>
        <v>6</v>
      </c>
      <c r="B19" s="80" t="str">
        <f>'Emp.-Detail'!B14</f>
        <v xml:space="preserve">CHANDAR KALA </v>
      </c>
      <c r="C19" s="80" t="str">
        <f>'Emp.-Detail'!C14</f>
        <v>Lecturer</v>
      </c>
      <c r="D19" s="81" t="str">
        <f>'Emp.-Detail'!D14</f>
        <v>ACNPV0041M</v>
      </c>
      <c r="E19" s="74">
        <f>'Emp-6'!Q9</f>
        <v>57525</v>
      </c>
      <c r="F19" s="75">
        <f>'Emp-6'!P9</f>
        <v>0</v>
      </c>
      <c r="G19" s="74">
        <f>'Emp-6'!O25</f>
        <v>2000</v>
      </c>
      <c r="H19" s="74">
        <f>'Emp-6'!Q10</f>
        <v>54732</v>
      </c>
      <c r="I19" s="75">
        <f>'Emp-6'!P10</f>
        <v>0</v>
      </c>
      <c r="J19" s="74">
        <f>'Emp-6'!O26</f>
        <v>2000</v>
      </c>
      <c r="K19" s="74">
        <f>'Emp-6'!Q11</f>
        <v>54732</v>
      </c>
      <c r="L19" s="75">
        <f>'Emp-6'!P11</f>
        <v>0</v>
      </c>
      <c r="M19" s="74">
        <f>'Emp-6'!O27</f>
        <v>2000</v>
      </c>
      <c r="N19" s="82">
        <f t="shared" si="0"/>
        <v>166989</v>
      </c>
      <c r="O19" s="83">
        <f t="shared" si="1"/>
        <v>0</v>
      </c>
      <c r="P19" s="84">
        <f t="shared" si="2"/>
        <v>6000</v>
      </c>
    </row>
    <row r="20" spans="1:16" ht="20.45" customHeight="1">
      <c r="A20" s="79">
        <f>'Emp.-Detail'!A15</f>
        <v>7</v>
      </c>
      <c r="B20" s="80" t="str">
        <f>'Emp.-Detail'!B15</f>
        <v>BHOMA RAM MEENA</v>
      </c>
      <c r="C20" s="80" t="str">
        <f>'Emp.-Detail'!C15</f>
        <v>Lecturer</v>
      </c>
      <c r="D20" s="81" t="str">
        <f>'Emp.-Detail'!D15</f>
        <v>ACLPM3827E</v>
      </c>
      <c r="E20" s="74">
        <f>'Emp-7'!Q9</f>
        <v>51994</v>
      </c>
      <c r="F20" s="75">
        <f>'Emp-7'!P9</f>
        <v>0</v>
      </c>
      <c r="G20" s="74">
        <f>'Emp-7'!O25</f>
        <v>2000</v>
      </c>
      <c r="H20" s="74">
        <f>'Emp-7'!Q10</f>
        <v>49468</v>
      </c>
      <c r="I20" s="75">
        <f>'Emp-7'!P10</f>
        <v>0</v>
      </c>
      <c r="J20" s="74">
        <f>'Emp-7'!O26</f>
        <v>2000</v>
      </c>
      <c r="K20" s="74">
        <f>'Emp-7'!Q11</f>
        <v>49468</v>
      </c>
      <c r="L20" s="75">
        <f>'Emp-7'!P11</f>
        <v>0</v>
      </c>
      <c r="M20" s="74">
        <f>'Emp-7'!O27</f>
        <v>2000</v>
      </c>
      <c r="N20" s="82">
        <f t="shared" si="0"/>
        <v>150930</v>
      </c>
      <c r="O20" s="83">
        <f t="shared" si="1"/>
        <v>0</v>
      </c>
      <c r="P20" s="84">
        <f t="shared" si="2"/>
        <v>6000</v>
      </c>
    </row>
    <row r="21" spans="1:16" ht="20.45" customHeight="1">
      <c r="A21" s="79">
        <f>'Emp.-Detail'!A16</f>
        <v>8</v>
      </c>
      <c r="B21" s="80" t="str">
        <f>'Emp.-Detail'!B16</f>
        <v>VIJAY CHOUDHARY</v>
      </c>
      <c r="C21" s="80" t="str">
        <f>'Emp.-Detail'!C16</f>
        <v>Lecturer</v>
      </c>
      <c r="D21" s="81" t="str">
        <f>'Emp.-Detail'!D16</f>
        <v>AHMPC9320N</v>
      </c>
      <c r="E21" s="74">
        <f>'Emp-8'!Q9</f>
        <v>74417</v>
      </c>
      <c r="F21" s="75">
        <f>'Emp-8'!P9</f>
        <v>0</v>
      </c>
      <c r="G21" s="74">
        <f>'Emp-8'!O25</f>
        <v>2000</v>
      </c>
      <c r="H21" s="74">
        <f>'Emp-8'!Q10</f>
        <v>48645</v>
      </c>
      <c r="I21" s="75">
        <f>'Emp-8'!P10</f>
        <v>0</v>
      </c>
      <c r="J21" s="74">
        <f>'Emp-8'!O26</f>
        <v>2000</v>
      </c>
      <c r="K21" s="74">
        <f>'Emp-8'!Q11</f>
        <v>48645</v>
      </c>
      <c r="L21" s="75">
        <f>'Emp-8'!P11</f>
        <v>0</v>
      </c>
      <c r="M21" s="74">
        <f>'Emp-8'!O27</f>
        <v>2000</v>
      </c>
      <c r="N21" s="82">
        <f t="shared" si="0"/>
        <v>171707</v>
      </c>
      <c r="O21" s="83">
        <f t="shared" si="1"/>
        <v>0</v>
      </c>
      <c r="P21" s="84">
        <f t="shared" si="2"/>
        <v>6000</v>
      </c>
    </row>
    <row r="22" spans="1:16" ht="20.45" customHeight="1">
      <c r="A22" s="79">
        <f>'Emp.-Detail'!A17</f>
        <v>9</v>
      </c>
      <c r="B22" s="80" t="str">
        <f>'Emp.-Detail'!B17</f>
        <v xml:space="preserve">KAMALESH KUMAR </v>
      </c>
      <c r="C22" s="80" t="str">
        <f>'Emp.-Detail'!C17</f>
        <v>Lecturer</v>
      </c>
      <c r="D22" s="81" t="str">
        <f>'Emp.-Detail'!D17</f>
        <v>DLLPK8818M</v>
      </c>
      <c r="E22" s="74">
        <f>'Emp-9'!Q9</f>
        <v>71541</v>
      </c>
      <c r="F22" s="75">
        <f>'Emp-9'!P9</f>
        <v>0</v>
      </c>
      <c r="G22" s="74">
        <f>'Emp-9'!O25</f>
        <v>2000</v>
      </c>
      <c r="H22" s="74">
        <f>'Emp-9'!Q10</f>
        <v>46765</v>
      </c>
      <c r="I22" s="75">
        <f>'Emp-9'!P10</f>
        <v>0</v>
      </c>
      <c r="J22" s="74">
        <f>'Emp-9'!O26</f>
        <v>2000</v>
      </c>
      <c r="K22" s="74">
        <f>'Emp-9'!Q11</f>
        <v>46765</v>
      </c>
      <c r="L22" s="75">
        <f>'Emp-9'!P11</f>
        <v>0</v>
      </c>
      <c r="M22" s="74">
        <f>'Emp-9'!O27</f>
        <v>2000</v>
      </c>
      <c r="N22" s="82">
        <f t="shared" si="0"/>
        <v>165071</v>
      </c>
      <c r="O22" s="83">
        <f t="shared" si="1"/>
        <v>0</v>
      </c>
      <c r="P22" s="84">
        <f t="shared" si="2"/>
        <v>6000</v>
      </c>
    </row>
    <row r="23" spans="1:16" ht="20.45" customHeight="1">
      <c r="A23" s="79">
        <f>'Emp.-Detail'!A18</f>
        <v>10</v>
      </c>
      <c r="B23" s="80" t="str">
        <f>'Emp.-Detail'!B18</f>
        <v xml:space="preserve">SITARAM DADHICH </v>
      </c>
      <c r="C23" s="80" t="str">
        <f>'Emp.-Detail'!C18</f>
        <v>Lecturer</v>
      </c>
      <c r="D23" s="81" t="str">
        <f>'Emp.-Detail'!D18</f>
        <v>AFZPD5085N</v>
      </c>
      <c r="E23" s="74">
        <f>'Emp-10'!Q9</f>
        <v>47720</v>
      </c>
      <c r="F23" s="75">
        <f>'Emp-10'!P9</f>
        <v>0</v>
      </c>
      <c r="G23" s="74">
        <f>'Emp-10'!O25</f>
        <v>1500</v>
      </c>
      <c r="H23" s="74">
        <f>'Emp-10'!Q10</f>
        <v>45402</v>
      </c>
      <c r="I23" s="75">
        <f>'Emp-10'!P10</f>
        <v>0</v>
      </c>
      <c r="J23" s="74">
        <f>'Emp-10'!O26</f>
        <v>1500</v>
      </c>
      <c r="K23" s="74">
        <f>'Emp-10'!Q11</f>
        <v>45402</v>
      </c>
      <c r="L23" s="75">
        <f>'Emp-10'!P11</f>
        <v>0</v>
      </c>
      <c r="M23" s="74">
        <f>'Emp-10'!O27</f>
        <v>1500</v>
      </c>
      <c r="N23" s="82">
        <f t="shared" si="0"/>
        <v>138524</v>
      </c>
      <c r="O23" s="83">
        <f t="shared" si="1"/>
        <v>0</v>
      </c>
      <c r="P23" s="84">
        <f t="shared" si="2"/>
        <v>4500</v>
      </c>
    </row>
    <row r="24" spans="1:16" ht="20.45" customHeight="1">
      <c r="A24" s="79">
        <f>'Emp.-Detail'!A19</f>
        <v>11</v>
      </c>
      <c r="B24" s="80" t="str">
        <f>'Emp.-Detail'!B19</f>
        <v xml:space="preserve">VIJAY SINGH </v>
      </c>
      <c r="C24" s="80" t="str">
        <f>'Emp.-Detail'!C19</f>
        <v>Sr. Teacher</v>
      </c>
      <c r="D24" s="81" t="str">
        <f>'Emp.-Detail'!D19</f>
        <v>AIDPS3122L</v>
      </c>
      <c r="E24" s="74">
        <f>'Emp-11'!Q9</f>
        <v>63011</v>
      </c>
      <c r="F24" s="75">
        <f>'Emp-11'!P9</f>
        <v>0</v>
      </c>
      <c r="G24" s="74">
        <f>'Emp-11'!O25</f>
        <v>1000</v>
      </c>
      <c r="H24" s="74">
        <f>'Emp-11'!Q10</f>
        <v>59949</v>
      </c>
      <c r="I24" s="75">
        <f>'Emp-11'!P10</f>
        <v>0</v>
      </c>
      <c r="J24" s="74">
        <f>'Emp-11'!O26</f>
        <v>1000</v>
      </c>
      <c r="K24" s="74">
        <f>'Emp-11'!Q11</f>
        <v>59949</v>
      </c>
      <c r="L24" s="75">
        <f>'Emp-11'!P11</f>
        <v>0</v>
      </c>
      <c r="M24" s="74">
        <f>'Emp-11'!O27</f>
        <v>1000</v>
      </c>
      <c r="N24" s="82">
        <f t="shared" si="0"/>
        <v>182909</v>
      </c>
      <c r="O24" s="83">
        <f t="shared" si="1"/>
        <v>0</v>
      </c>
      <c r="P24" s="84">
        <f t="shared" si="2"/>
        <v>3000</v>
      </c>
    </row>
    <row r="25" spans="1:16" ht="20.45" customHeight="1">
      <c r="A25" s="79">
        <f>'Emp.-Detail'!A20</f>
        <v>12</v>
      </c>
      <c r="B25" s="80" t="str">
        <f>'Emp.-Detail'!B20</f>
        <v>RANVEER SINGH</v>
      </c>
      <c r="C25" s="80" t="str">
        <f>'Emp.-Detail'!C20</f>
        <v>Sr. Teacher</v>
      </c>
      <c r="D25" s="81" t="str">
        <f>'Emp.-Detail'!D20</f>
        <v>ABKPM3872F</v>
      </c>
      <c r="E25" s="74">
        <f>'Emp-12'!Q9</f>
        <v>91530</v>
      </c>
      <c r="F25" s="75">
        <f>'Emp-12'!P9</f>
        <v>0</v>
      </c>
      <c r="G25" s="74">
        <f>'Emp-12'!O25</f>
        <v>2000</v>
      </c>
      <c r="H25" s="74">
        <f>'Emp-12'!Q10</f>
        <v>59831</v>
      </c>
      <c r="I25" s="75">
        <f>'Emp-12'!P10</f>
        <v>0</v>
      </c>
      <c r="J25" s="74">
        <f>'Emp-12'!O26</f>
        <v>2000</v>
      </c>
      <c r="K25" s="74">
        <f>'Emp-12'!Q11</f>
        <v>59831</v>
      </c>
      <c r="L25" s="75">
        <f>'Emp-12'!P11</f>
        <v>0</v>
      </c>
      <c r="M25" s="74">
        <f>'Emp-12'!O27</f>
        <v>2000</v>
      </c>
      <c r="N25" s="82">
        <f t="shared" si="0"/>
        <v>211192</v>
      </c>
      <c r="O25" s="83">
        <f t="shared" si="1"/>
        <v>0</v>
      </c>
      <c r="P25" s="84">
        <f t="shared" si="2"/>
        <v>6000</v>
      </c>
    </row>
    <row r="26" spans="1:16" ht="20.45" customHeight="1">
      <c r="A26" s="79">
        <f>'Emp.-Detail'!A21</f>
        <v>13</v>
      </c>
      <c r="B26" s="80" t="str">
        <f>'Emp.-Detail'!B21</f>
        <v>VIJAY SANKAR SHARAMA</v>
      </c>
      <c r="C26" s="80" t="str">
        <f>'Emp.-Detail'!C21</f>
        <v>Sr. Teacher</v>
      </c>
      <c r="D26" s="81" t="str">
        <f>'Emp.-Detail'!D21</f>
        <v>ADUPS1283L</v>
      </c>
      <c r="E26" s="74">
        <f>'Emp-13'!Q9</f>
        <v>62393</v>
      </c>
      <c r="F26" s="75">
        <f>'Emp-13'!P9</f>
        <v>0</v>
      </c>
      <c r="G26" s="74">
        <f>'Emp-13'!O25</f>
        <v>3500</v>
      </c>
      <c r="H26" s="74">
        <f>'Emp-13'!Q10</f>
        <v>59361</v>
      </c>
      <c r="I26" s="75">
        <f>'Emp-13'!P10</f>
        <v>0</v>
      </c>
      <c r="J26" s="74">
        <f>'Emp-13'!O26</f>
        <v>3500</v>
      </c>
      <c r="K26" s="74">
        <f>'Emp-13'!Q11</f>
        <v>59361</v>
      </c>
      <c r="L26" s="75">
        <f>'Emp-13'!P11</f>
        <v>0</v>
      </c>
      <c r="M26" s="74">
        <f>'Emp-13'!O27</f>
        <v>3500</v>
      </c>
      <c r="N26" s="82">
        <f t="shared" si="0"/>
        <v>181115</v>
      </c>
      <c r="O26" s="83">
        <f t="shared" si="1"/>
        <v>0</v>
      </c>
      <c r="P26" s="84">
        <f t="shared" si="2"/>
        <v>10500</v>
      </c>
    </row>
    <row r="27" spans="1:16" ht="20.45" customHeight="1">
      <c r="A27" s="79">
        <f>'Emp.-Detail'!A22</f>
        <v>14</v>
      </c>
      <c r="B27" s="80" t="str">
        <f>'Emp.-Detail'!B22</f>
        <v xml:space="preserve">GOVIND RAM BHATI </v>
      </c>
      <c r="C27" s="80" t="str">
        <f>'Emp.-Detail'!C22</f>
        <v>Sr. Teacher</v>
      </c>
      <c r="D27" s="81" t="str">
        <f>'Emp.-Detail'!D22</f>
        <v>ASHPR1636E</v>
      </c>
      <c r="E27" s="74">
        <f>'Emp-14'!Q9</f>
        <v>76933</v>
      </c>
      <c r="F27" s="75">
        <f>'Emp-14'!P9</f>
        <v>0</v>
      </c>
      <c r="G27" s="74">
        <f>'Emp-14'!O25</f>
        <v>2000</v>
      </c>
      <c r="H27" s="74">
        <f>'Emp-14'!Q10</f>
        <v>50290</v>
      </c>
      <c r="I27" s="75">
        <f>'Emp-14'!P10</f>
        <v>0</v>
      </c>
      <c r="J27" s="74">
        <f>'Emp-14'!O26</f>
        <v>2000</v>
      </c>
      <c r="K27" s="74">
        <f>'Emp-14'!Q11</f>
        <v>50290</v>
      </c>
      <c r="L27" s="75">
        <f>'Emp-14'!P11</f>
        <v>0</v>
      </c>
      <c r="M27" s="74">
        <f>'Emp-14'!O27</f>
        <v>2000</v>
      </c>
      <c r="N27" s="82">
        <f t="shared" si="0"/>
        <v>177513</v>
      </c>
      <c r="O27" s="83">
        <f t="shared" si="1"/>
        <v>0</v>
      </c>
      <c r="P27" s="84">
        <f t="shared" si="2"/>
        <v>6000</v>
      </c>
    </row>
    <row r="28" spans="1:16" ht="20.45" customHeight="1">
      <c r="A28" s="79">
        <f>'Emp.-Detail'!A23</f>
        <v>15</v>
      </c>
      <c r="B28" s="80" t="str">
        <f>'Emp.-Detail'!B23</f>
        <v>RAJ KUMAR TANWAR</v>
      </c>
      <c r="C28" s="80" t="str">
        <f>'Emp.-Detail'!C23</f>
        <v>Lab. Asist.</v>
      </c>
      <c r="D28" s="81" t="str">
        <f>'Emp.-Detail'!D23</f>
        <v>ACPPT9605F</v>
      </c>
      <c r="E28" s="74">
        <f>'Emp-15'!Q9</f>
        <v>58416</v>
      </c>
      <c r="F28" s="75">
        <f>'Emp-15'!P9</f>
        <v>0</v>
      </c>
      <c r="G28" s="74">
        <f>'Emp-15'!O25</f>
        <v>2000</v>
      </c>
      <c r="H28" s="74">
        <f>'Emp-15'!Q10</f>
        <v>55578</v>
      </c>
      <c r="I28" s="75">
        <f>'Emp-15'!P10</f>
        <v>0</v>
      </c>
      <c r="J28" s="74">
        <f>'Emp-15'!O26</f>
        <v>2000</v>
      </c>
      <c r="K28" s="74">
        <f>'Emp-15'!Q11</f>
        <v>55578</v>
      </c>
      <c r="L28" s="75">
        <f>'Emp-15'!P11</f>
        <v>0</v>
      </c>
      <c r="M28" s="74">
        <f>'Emp-15'!O27</f>
        <v>2000</v>
      </c>
      <c r="N28" s="82">
        <f t="shared" si="0"/>
        <v>169572</v>
      </c>
      <c r="O28" s="83">
        <f t="shared" si="1"/>
        <v>0</v>
      </c>
      <c r="P28" s="84">
        <f t="shared" si="2"/>
        <v>6000</v>
      </c>
    </row>
    <row r="29" spans="1:16" ht="20.45" customHeight="1">
      <c r="A29" s="79">
        <f>'Emp.-Detail'!A24</f>
        <v>16</v>
      </c>
      <c r="B29" s="80" t="str">
        <f>'Emp.-Detail'!B24</f>
        <v>VIJAY KUMAR DENWAL</v>
      </c>
      <c r="C29" s="80" t="str">
        <f>'Emp.-Detail'!C24</f>
        <v>UDC</v>
      </c>
      <c r="D29" s="81" t="str">
        <f>'Emp.-Detail'!D24</f>
        <v>AKPPD4869B</v>
      </c>
      <c r="E29" s="74">
        <f>'Emp-16'!Q9</f>
        <v>58670</v>
      </c>
      <c r="F29" s="75">
        <f>'Emp-16'!P9</f>
        <v>0</v>
      </c>
      <c r="G29" s="74">
        <f>'Emp-16'!O25</f>
        <v>1500</v>
      </c>
      <c r="H29" s="74">
        <f>'Emp-16'!Q10</f>
        <v>38352</v>
      </c>
      <c r="I29" s="75">
        <f>'Emp-16'!P10</f>
        <v>0</v>
      </c>
      <c r="J29" s="74">
        <f>'Emp-16'!O26</f>
        <v>1500</v>
      </c>
      <c r="K29" s="74">
        <f>'Emp-16'!Q11</f>
        <v>38352</v>
      </c>
      <c r="L29" s="75">
        <f>'Emp-16'!P11</f>
        <v>0</v>
      </c>
      <c r="M29" s="74">
        <f>'Emp-16'!O27</f>
        <v>1500</v>
      </c>
      <c r="N29" s="82">
        <f t="shared" si="0"/>
        <v>135374</v>
      </c>
      <c r="O29" s="83">
        <f t="shared" si="1"/>
        <v>0</v>
      </c>
      <c r="P29" s="84">
        <f t="shared" si="2"/>
        <v>4500</v>
      </c>
    </row>
    <row r="30" spans="1:16" ht="20.45" customHeight="1">
      <c r="A30" s="79">
        <f>'Emp.-Detail'!A25</f>
        <v>17</v>
      </c>
      <c r="B30" s="80" t="str">
        <f>'Emp.-Detail'!B25</f>
        <v>DEEP CHAND PRAJAPAT</v>
      </c>
      <c r="C30" s="80" t="str">
        <f>'Emp.-Detail'!C25</f>
        <v>UDC</v>
      </c>
      <c r="D30" s="81" t="str">
        <f>'Emp.-Detail'!D25</f>
        <v>BDRPP3136R</v>
      </c>
      <c r="E30" s="74">
        <f>'Emp-17'!Q9</f>
        <v>37570</v>
      </c>
      <c r="F30" s="75">
        <f>'Emp-17'!P9</f>
        <v>0</v>
      </c>
      <c r="G30" s="74">
        <f>'Emp-17'!O25</f>
        <v>0</v>
      </c>
      <c r="H30" s="74">
        <f>'Emp-17'!Q10</f>
        <v>35744</v>
      </c>
      <c r="I30" s="75">
        <f>'Emp-17'!P10</f>
        <v>0</v>
      </c>
      <c r="J30" s="74">
        <f>'Emp-17'!O26</f>
        <v>0</v>
      </c>
      <c r="K30" s="74">
        <f>'Emp-17'!Q11</f>
        <v>35744</v>
      </c>
      <c r="L30" s="75">
        <f>'Emp-17'!P13</f>
        <v>0</v>
      </c>
      <c r="M30" s="74">
        <f>'Emp-17'!O27</f>
        <v>0</v>
      </c>
      <c r="N30" s="82">
        <f t="shared" si="0"/>
        <v>109058</v>
      </c>
      <c r="O30" s="83">
        <f t="shared" si="1"/>
        <v>0</v>
      </c>
      <c r="P30" s="84">
        <f t="shared" si="2"/>
        <v>0</v>
      </c>
    </row>
    <row r="31" spans="1:16" ht="20.45" customHeight="1">
      <c r="A31" s="79">
        <f>'Emp.-Detail'!A26</f>
        <v>18</v>
      </c>
      <c r="B31" s="80" t="str">
        <f>'Emp.-Detail'!B26</f>
        <v xml:space="preserve">MANGI LAL </v>
      </c>
      <c r="C31" s="80" t="str">
        <f>'Emp.-Detail'!C26</f>
        <v>LDC</v>
      </c>
      <c r="D31" s="81" t="str">
        <f>'Emp.-Detail'!D26</f>
        <v>AMPPD4396D</v>
      </c>
      <c r="E31" s="74">
        <f>'Emp-18'!Q9</f>
        <v>46519</v>
      </c>
      <c r="F31" s="75">
        <f>'Emp-18'!P9</f>
        <v>0</v>
      </c>
      <c r="G31" s="74">
        <f>'Emp-18'!O25</f>
        <v>0</v>
      </c>
      <c r="H31" s="74">
        <f>'Emp-18'!Q10</f>
        <v>30409</v>
      </c>
      <c r="I31" s="75">
        <f>'Emp-18'!P10</f>
        <v>0</v>
      </c>
      <c r="J31" s="74">
        <f>'Emp-18'!O26</f>
        <v>0</v>
      </c>
      <c r="K31" s="74">
        <f>'Emp-18'!Q11</f>
        <v>30409</v>
      </c>
      <c r="L31" s="75">
        <f>'Emp-18'!P13</f>
        <v>0</v>
      </c>
      <c r="M31" s="74">
        <f>'Emp-18'!O27</f>
        <v>0</v>
      </c>
      <c r="N31" s="82">
        <f t="shared" si="0"/>
        <v>107337</v>
      </c>
      <c r="O31" s="83">
        <f t="shared" si="1"/>
        <v>0</v>
      </c>
      <c r="P31" s="84">
        <f t="shared" si="2"/>
        <v>0</v>
      </c>
    </row>
    <row r="32" spans="1:16" ht="20.45" customHeight="1">
      <c r="A32" s="79">
        <f>'Emp.-Detail'!A27</f>
        <v>19</v>
      </c>
      <c r="B32" s="80" t="str">
        <f>'Emp.-Detail'!B27</f>
        <v xml:space="preserve">KAMAL KISHOR RANKAWAT </v>
      </c>
      <c r="C32" s="80" t="str">
        <f>'Emp.-Detail'!C27</f>
        <v>LDC</v>
      </c>
      <c r="D32" s="81" t="str">
        <f>'Emp.-Detail'!D27</f>
        <v>AVUPR4488E</v>
      </c>
      <c r="E32" s="74">
        <f>'Emp-19'!Q9</f>
        <v>37568</v>
      </c>
      <c r="F32" s="75">
        <f>'Emp-19'!P9</f>
        <v>0</v>
      </c>
      <c r="G32" s="74">
        <f>'Emp-19'!O25</f>
        <v>0</v>
      </c>
      <c r="H32" s="74">
        <f>'Emp-19'!Q10</f>
        <v>24558</v>
      </c>
      <c r="I32" s="75">
        <f>'Emp-19'!P10</f>
        <v>0</v>
      </c>
      <c r="J32" s="74">
        <f>'Emp-19'!O26</f>
        <v>0</v>
      </c>
      <c r="K32" s="74">
        <f>'Emp-19'!Q11</f>
        <v>24558</v>
      </c>
      <c r="L32" s="75">
        <f>'Emp-19'!P13</f>
        <v>0</v>
      </c>
      <c r="M32" s="74">
        <f>'Emp-19'!O27</f>
        <v>0</v>
      </c>
      <c r="N32" s="82">
        <f t="shared" ref="N32:N33" si="3">E32+H32+K32</f>
        <v>86684</v>
      </c>
      <c r="O32" s="83">
        <f t="shared" ref="O32:O33" si="4">F32+I32+L32</f>
        <v>0</v>
      </c>
      <c r="P32" s="84">
        <f t="shared" ref="P32:P33" si="5">G32+J32+M32</f>
        <v>0</v>
      </c>
    </row>
    <row r="33" spans="1:19" ht="20.45" customHeight="1">
      <c r="A33" s="79">
        <f>'Emp.-Detail'!A28</f>
        <v>20</v>
      </c>
      <c r="B33" s="80" t="str">
        <f>'Emp.-Detail'!B28</f>
        <v>VINOD KUMAR SHARMA</v>
      </c>
      <c r="C33" s="80" t="str">
        <f>'Emp.-Detail'!C28</f>
        <v>Lab.Boy.</v>
      </c>
      <c r="D33" s="81" t="str">
        <f>'Emp.-Detail'!D28</f>
        <v>CJOPK0625C</v>
      </c>
      <c r="E33" s="74">
        <f>'Emp-20'!Q9</f>
        <v>39329</v>
      </c>
      <c r="F33" s="75">
        <f>'Emp-20'!P9</f>
        <v>0</v>
      </c>
      <c r="G33" s="74">
        <f>'Emp-20'!O25</f>
        <v>0</v>
      </c>
      <c r="H33" s="74">
        <f>'Emp-20'!Q10</f>
        <v>25709</v>
      </c>
      <c r="I33" s="75">
        <f>'Emp-20'!P10</f>
        <v>0</v>
      </c>
      <c r="J33" s="74">
        <f>'Emp-20'!O26</f>
        <v>0</v>
      </c>
      <c r="K33" s="74">
        <f>'Emp-20'!Q11</f>
        <v>25709</v>
      </c>
      <c r="L33" s="75">
        <f>'Emp-20'!P13</f>
        <v>0</v>
      </c>
      <c r="M33" s="74">
        <f>'Emp-20'!O27</f>
        <v>0</v>
      </c>
      <c r="N33" s="82">
        <f t="shared" si="3"/>
        <v>90747</v>
      </c>
      <c r="O33" s="83">
        <f t="shared" si="4"/>
        <v>0</v>
      </c>
      <c r="P33" s="84">
        <f t="shared" si="5"/>
        <v>0</v>
      </c>
    </row>
    <row r="34" spans="1:19" ht="14.1" customHeight="1">
      <c r="A34" s="1284" t="s">
        <v>272</v>
      </c>
      <c r="B34" s="1285"/>
      <c r="C34" s="1285"/>
      <c r="D34" s="1285"/>
      <c r="E34" s="1285"/>
      <c r="F34" s="1285"/>
      <c r="G34" s="1285"/>
      <c r="H34" s="1285"/>
      <c r="I34" s="1285"/>
      <c r="J34" s="1285"/>
      <c r="K34" s="1285"/>
      <c r="L34" s="1285"/>
      <c r="M34" s="1285"/>
      <c r="N34" s="1285"/>
      <c r="O34" s="1285"/>
      <c r="P34" s="1286"/>
    </row>
    <row r="35" spans="1:19" ht="18">
      <c r="A35" s="85" t="s">
        <v>11</v>
      </c>
      <c r="B35" s="86" t="str">
        <f>'DDO '!B8</f>
        <v>MADAN LAL PILANIYA</v>
      </c>
      <c r="C35" s="780" t="s">
        <v>50</v>
      </c>
      <c r="D35" s="780"/>
      <c r="E35" s="794" t="str">
        <f>'DDO '!B10</f>
        <v>HEADMASTER</v>
      </c>
      <c r="F35" s="794"/>
      <c r="G35" s="794"/>
      <c r="H35" s="780" t="s">
        <v>275</v>
      </c>
      <c r="I35" s="780"/>
      <c r="J35" s="780"/>
      <c r="K35" s="780"/>
      <c r="L35" s="780"/>
      <c r="M35" s="780"/>
      <c r="N35" s="780"/>
      <c r="O35" s="780"/>
      <c r="P35" s="781"/>
    </row>
    <row r="36" spans="1:19">
      <c r="A36" s="87"/>
      <c r="B36" s="88" t="s">
        <v>273</v>
      </c>
      <c r="C36" s="794" t="str">
        <f>'DDO '!B22</f>
        <v>Govt. PCB Sr. Sec. School, Sujangarh</v>
      </c>
      <c r="D36" s="794"/>
      <c r="E36" s="794"/>
      <c r="F36" s="794"/>
      <c r="G36" s="1295" t="s">
        <v>274</v>
      </c>
      <c r="H36" s="1295"/>
      <c r="I36" s="1295"/>
      <c r="J36" s="1295"/>
      <c r="K36" s="1295"/>
      <c r="L36" s="1295"/>
      <c r="M36" s="1295"/>
      <c r="N36" s="1295"/>
      <c r="O36" s="1295"/>
      <c r="P36" s="1296"/>
    </row>
    <row r="37" spans="1:19" ht="9.9499999999999993" customHeight="1">
      <c r="A37" s="410"/>
      <c r="B37" s="1119"/>
      <c r="C37" s="1119"/>
      <c r="D37" s="1119"/>
      <c r="E37" s="1119"/>
      <c r="F37" s="1119"/>
      <c r="G37" s="1119"/>
      <c r="H37" s="1119"/>
      <c r="I37" s="1119"/>
      <c r="J37" s="1119"/>
      <c r="K37" s="1119"/>
      <c r="L37" s="1119"/>
      <c r="M37" s="1119"/>
      <c r="N37" s="1119"/>
      <c r="O37" s="1119"/>
      <c r="P37" s="411"/>
      <c r="S37" s="70"/>
    </row>
    <row r="38" spans="1:19" ht="9.9499999999999993" customHeight="1">
      <c r="A38" s="410"/>
      <c r="B38" s="1119"/>
      <c r="C38" s="1119"/>
      <c r="D38" s="1119"/>
      <c r="E38" s="1119"/>
      <c r="F38" s="1119"/>
      <c r="G38" s="1119"/>
      <c r="H38" s="1119"/>
      <c r="I38" s="1119"/>
      <c r="J38" s="1119"/>
      <c r="K38" s="1119"/>
      <c r="L38" s="1119"/>
      <c r="M38" s="1119"/>
      <c r="N38" s="1119"/>
      <c r="O38" s="1119"/>
      <c r="P38" s="411"/>
    </row>
    <row r="39" spans="1:19" ht="9.9499999999999993" customHeight="1">
      <c r="A39" s="410"/>
      <c r="B39" s="1119"/>
      <c r="C39" s="1119"/>
      <c r="D39" s="1119"/>
      <c r="E39" s="1119"/>
      <c r="F39" s="1119"/>
      <c r="G39" s="1119"/>
      <c r="H39" s="1119"/>
      <c r="I39" s="1119"/>
      <c r="J39" s="1119"/>
      <c r="K39" s="1119"/>
      <c r="L39" s="1119"/>
      <c r="M39" s="1119"/>
      <c r="N39" s="1119"/>
      <c r="O39" s="1119"/>
      <c r="P39" s="411"/>
    </row>
    <row r="40" spans="1:19" ht="15.75" thickBot="1">
      <c r="A40" s="1274"/>
      <c r="B40" s="1273"/>
      <c r="C40" s="1273"/>
      <c r="D40" s="1273"/>
      <c r="E40" s="1273" t="s">
        <v>215</v>
      </c>
      <c r="F40" s="1273"/>
      <c r="G40" s="1273"/>
      <c r="H40" s="1273"/>
      <c r="I40" s="1273"/>
      <c r="J40" s="1273"/>
      <c r="K40" s="1282" t="s">
        <v>53</v>
      </c>
      <c r="L40" s="1282"/>
      <c r="M40" s="1282"/>
      <c r="N40" s="1282"/>
      <c r="O40" s="1282"/>
      <c r="P40" s="1283"/>
    </row>
    <row r="41" spans="1:19" ht="9" customHeight="1"/>
  </sheetData>
  <sheetProtection password="CCB4" sheet="1" objects="1" scenarios="1" selectLockedCells="1"/>
  <mergeCells count="61">
    <mergeCell ref="H35:P35"/>
    <mergeCell ref="C36:F36"/>
    <mergeCell ref="B11:B13"/>
    <mergeCell ref="C11:C13"/>
    <mergeCell ref="C1:XFD1"/>
    <mergeCell ref="C7:D7"/>
    <mergeCell ref="C8:D8"/>
    <mergeCell ref="E7:G7"/>
    <mergeCell ref="E8:G8"/>
    <mergeCell ref="N7:P7"/>
    <mergeCell ref="N8:P8"/>
    <mergeCell ref="K7:M7"/>
    <mergeCell ref="K8:M8"/>
    <mergeCell ref="H7:J7"/>
    <mergeCell ref="H8:J8"/>
    <mergeCell ref="E35:G35"/>
    <mergeCell ref="K40:P40"/>
    <mergeCell ref="H9:M9"/>
    <mergeCell ref="C9:G9"/>
    <mergeCell ref="E11:G11"/>
    <mergeCell ref="A34:P34"/>
    <mergeCell ref="K12:K13"/>
    <mergeCell ref="L12:L13"/>
    <mergeCell ref="A11:A13"/>
    <mergeCell ref="A9:B9"/>
    <mergeCell ref="N9:P9"/>
    <mergeCell ref="A10:P10"/>
    <mergeCell ref="F12:F13"/>
    <mergeCell ref="G12:G13"/>
    <mergeCell ref="I12:I13"/>
    <mergeCell ref="G36:P36"/>
    <mergeCell ref="C35:D35"/>
    <mergeCell ref="A37:P39"/>
    <mergeCell ref="E40:F40"/>
    <mergeCell ref="G40:J40"/>
    <mergeCell ref="A40:D40"/>
    <mergeCell ref="A1:B1"/>
    <mergeCell ref="A5:P5"/>
    <mergeCell ref="A3:B3"/>
    <mergeCell ref="C3:D3"/>
    <mergeCell ref="N3:P3"/>
    <mergeCell ref="J3:M3"/>
    <mergeCell ref="E3:I3"/>
    <mergeCell ref="E4:I4"/>
    <mergeCell ref="A4:D4"/>
    <mergeCell ref="J4:P4"/>
    <mergeCell ref="A2:D2"/>
    <mergeCell ref="E2:P2"/>
    <mergeCell ref="A6:P6"/>
    <mergeCell ref="M12:M13"/>
    <mergeCell ref="N11:N13"/>
    <mergeCell ref="O11:O13"/>
    <mergeCell ref="P11:P13"/>
    <mergeCell ref="H11:J11"/>
    <mergeCell ref="K11:M11"/>
    <mergeCell ref="E12:E13"/>
    <mergeCell ref="H12:H13"/>
    <mergeCell ref="D11:D13"/>
    <mergeCell ref="J12:J13"/>
    <mergeCell ref="A7:B7"/>
    <mergeCell ref="A8:B8"/>
  </mergeCells>
  <hyperlinks>
    <hyperlink ref="A1:B1" location="'I-Tax Master'!A1" tooltip=" " display="Back To Main Menu"/>
  </hyperlinks>
  <pageMargins left="1" right="0" top="0.25" bottom="0.25" header="0" footer="0"/>
  <pageSetup paperSize="9" scale="80" orientation="landscape" verticalDpi="0" r:id="rId1"/>
  <ignoredErrors>
    <ignoredError sqref="A14:A33 B14:B33 C14:C33 D14:D33 A7:P8 E14:P33 C9:M9 B35:P36 N3 J3 C3 A2:P2 A4:P4 A3:B3 D3:I3 K3:M3 O3:P3" unlockedFormula="1"/>
  </ignoredErrors>
</worksheet>
</file>

<file path=xl/worksheets/sheet26.xml><?xml version="1.0" encoding="utf-8"?>
<worksheet xmlns="http://schemas.openxmlformats.org/spreadsheetml/2006/main" xmlns:r="http://schemas.openxmlformats.org/officeDocument/2006/relationships">
  <dimension ref="A1:V41"/>
  <sheetViews>
    <sheetView workbookViewId="0">
      <selection sqref="A1:B1"/>
    </sheetView>
  </sheetViews>
  <sheetFormatPr defaultColWidth="0" defaultRowHeight="15" zeroHeight="1"/>
  <cols>
    <col min="1" max="1" width="4.42578125" style="50" customWidth="1"/>
    <col min="2" max="2" width="29.7109375" style="50" customWidth="1"/>
    <col min="3" max="3" width="14" style="50" customWidth="1"/>
    <col min="4" max="4" width="15" style="50" customWidth="1"/>
    <col min="5" max="5" width="10" style="50" customWidth="1"/>
    <col min="6" max="6" width="7.85546875" style="50" customWidth="1"/>
    <col min="7" max="8" width="9.140625" style="50" customWidth="1"/>
    <col min="9" max="9" width="7.5703125" style="50" customWidth="1"/>
    <col min="10" max="10" width="8.140625" style="50" customWidth="1"/>
    <col min="11" max="11" width="9.140625" style="50" customWidth="1"/>
    <col min="12" max="12" width="7.5703125" style="50" customWidth="1"/>
    <col min="13" max="13" width="9.140625" style="50" customWidth="1"/>
    <col min="14" max="14" width="9.85546875" style="50" customWidth="1"/>
    <col min="15" max="15" width="7.85546875" style="50" customWidth="1"/>
    <col min="16" max="16" width="9.140625" style="50" customWidth="1"/>
    <col min="17" max="17" width="1" style="50" customWidth="1"/>
    <col min="18" max="22" width="0" style="50" hidden="1" customWidth="1"/>
    <col min="23" max="16384" width="9.140625" style="50" hidden="1"/>
  </cols>
  <sheetData>
    <row r="1" spans="1:22" s="1172" customFormat="1" ht="15.75" customHeight="1" thickBot="1">
      <c r="A1" s="1275" t="s">
        <v>403</v>
      </c>
      <c r="B1" s="1275"/>
    </row>
    <row r="2" spans="1:22" ht="20.100000000000001" customHeight="1">
      <c r="A2" s="1278" t="str">
        <f>'Emp.-Detail'!A2</f>
        <v xml:space="preserve">Office Name:- </v>
      </c>
      <c r="B2" s="1279"/>
      <c r="C2" s="1279"/>
      <c r="D2" s="1279"/>
      <c r="E2" s="1280" t="str">
        <f>'DDO '!B2</f>
        <v>GOVT.SEC.SCHOOL DEWANI</v>
      </c>
      <c r="F2" s="1280"/>
      <c r="G2" s="1280"/>
      <c r="H2" s="1280"/>
      <c r="I2" s="1280"/>
      <c r="J2" s="1280"/>
      <c r="K2" s="1280"/>
      <c r="L2" s="1280"/>
      <c r="M2" s="1280"/>
      <c r="N2" s="1280"/>
      <c r="O2" s="1280"/>
      <c r="P2" s="1281"/>
    </row>
    <row r="3" spans="1:22" ht="18" customHeight="1">
      <c r="A3" s="1272" t="str">
        <f>'DDO '!A3</f>
        <v xml:space="preserve">Financial Year :- </v>
      </c>
      <c r="B3" s="847"/>
      <c r="C3" s="847" t="str">
        <f>'DDO '!B3</f>
        <v>2016-17</v>
      </c>
      <c r="D3" s="847"/>
      <c r="E3" s="1300" t="s">
        <v>270</v>
      </c>
      <c r="F3" s="1255"/>
      <c r="G3" s="1255"/>
      <c r="H3" s="1255"/>
      <c r="I3" s="1301"/>
      <c r="J3" s="847" t="str">
        <f>'DDO '!F3</f>
        <v>Assessment Year :-</v>
      </c>
      <c r="K3" s="847"/>
      <c r="L3" s="847"/>
      <c r="M3" s="847"/>
      <c r="N3" s="847" t="str">
        <f>'DDO '!G3</f>
        <v>2017-18</v>
      </c>
      <c r="O3" s="847"/>
      <c r="P3" s="1276"/>
    </row>
    <row r="4" spans="1:22" ht="18" customHeight="1">
      <c r="A4" s="410"/>
      <c r="B4" s="1119"/>
      <c r="C4" s="1119"/>
      <c r="D4" s="1119"/>
      <c r="E4" s="874" t="s">
        <v>269</v>
      </c>
      <c r="F4" s="875"/>
      <c r="G4" s="875"/>
      <c r="H4" s="875"/>
      <c r="I4" s="787"/>
      <c r="J4" s="1119"/>
      <c r="K4" s="1119"/>
      <c r="L4" s="1119"/>
      <c r="M4" s="1119"/>
      <c r="N4" s="1119"/>
      <c r="O4" s="1119"/>
      <c r="P4" s="411"/>
    </row>
    <row r="5" spans="1:22" ht="18" customHeight="1">
      <c r="A5" s="891" t="s">
        <v>315</v>
      </c>
      <c r="B5" s="780"/>
      <c r="C5" s="780"/>
      <c r="D5" s="780"/>
      <c r="E5" s="780"/>
      <c r="F5" s="780"/>
      <c r="G5" s="780"/>
      <c r="H5" s="780"/>
      <c r="I5" s="780"/>
      <c r="J5" s="780"/>
      <c r="K5" s="780"/>
      <c r="L5" s="780"/>
      <c r="M5" s="780"/>
      <c r="N5" s="780"/>
      <c r="O5" s="780"/>
      <c r="P5" s="781"/>
    </row>
    <row r="6" spans="1:22" ht="15" customHeight="1">
      <c r="A6" s="1254" t="s">
        <v>316</v>
      </c>
      <c r="B6" s="1255"/>
      <c r="C6" s="1255"/>
      <c r="D6" s="1255"/>
      <c r="E6" s="1255"/>
      <c r="F6" s="1255"/>
      <c r="G6" s="1255"/>
      <c r="H6" s="1255"/>
      <c r="I6" s="1255"/>
      <c r="J6" s="1255"/>
      <c r="K6" s="1255"/>
      <c r="L6" s="1255"/>
      <c r="M6" s="1255"/>
      <c r="N6" s="1255"/>
      <c r="O6" s="1255"/>
      <c r="P6" s="1256"/>
    </row>
    <row r="7" spans="1:22" ht="18" customHeight="1">
      <c r="A7" s="1272" t="str">
        <f>'DDO '!A8</f>
        <v>Name of Deducter :-</v>
      </c>
      <c r="B7" s="847"/>
      <c r="C7" s="847" t="str">
        <f>'DDO '!F8</f>
        <v>LADURAM JAT</v>
      </c>
      <c r="D7" s="847"/>
      <c r="E7" s="847" t="str">
        <f>'DDO '!A10</f>
        <v>Designation of Deducter :-</v>
      </c>
      <c r="F7" s="847"/>
      <c r="G7" s="847"/>
      <c r="H7" s="847" t="str">
        <f>'DDO '!F10</f>
        <v>PRINCIPAL</v>
      </c>
      <c r="I7" s="847"/>
      <c r="J7" s="847"/>
      <c r="K7" s="847" t="str">
        <f>'DDO '!A11</f>
        <v>PAN No.  of  Deducter :-</v>
      </c>
      <c r="L7" s="847"/>
      <c r="M7" s="847"/>
      <c r="N7" s="847" t="str">
        <f>'DDO '!F11</f>
        <v>ABXPJ6624R</v>
      </c>
      <c r="O7" s="847"/>
      <c r="P7" s="1276"/>
    </row>
    <row r="8" spans="1:22" ht="18" customHeight="1">
      <c r="A8" s="1272" t="str">
        <f>'DDO '!A9</f>
        <v>Father`s Name of Deducter :-</v>
      </c>
      <c r="B8" s="847"/>
      <c r="C8" s="847" t="str">
        <f>'DDO '!F9</f>
        <v>SH. DHANA RAM</v>
      </c>
      <c r="D8" s="847"/>
      <c r="E8" s="847" t="str">
        <f>'DDO '!A16</f>
        <v>Mobile no. of Deducter :-</v>
      </c>
      <c r="F8" s="847"/>
      <c r="G8" s="847"/>
      <c r="H8" s="847" t="str">
        <f>'DDO '!F16</f>
        <v>09461110977</v>
      </c>
      <c r="I8" s="847"/>
      <c r="J8" s="847"/>
      <c r="K8" s="847" t="str">
        <f>'DDO '!A13</f>
        <v>TAN  No. of  Office :-</v>
      </c>
      <c r="L8" s="847"/>
      <c r="M8" s="847"/>
      <c r="N8" s="847" t="str">
        <f>'DDO '!F13</f>
        <v>JPRG04123A</v>
      </c>
      <c r="O8" s="847"/>
      <c r="P8" s="1276"/>
      <c r="S8" s="70"/>
      <c r="V8" s="70"/>
    </row>
    <row r="9" spans="1:22" ht="18" customHeight="1">
      <c r="A9" s="1292"/>
      <c r="B9" s="1115"/>
      <c r="C9" s="847" t="str">
        <f>'DDO '!A14</f>
        <v>E-mail ID of Office :-</v>
      </c>
      <c r="D9" s="847"/>
      <c r="E9" s="847"/>
      <c r="F9" s="847"/>
      <c r="G9" s="793"/>
      <c r="H9" s="1304" t="str">
        <f>'DDO '!F14</f>
        <v>pcbsugh@yahoo.in</v>
      </c>
      <c r="I9" s="847"/>
      <c r="J9" s="847"/>
      <c r="K9" s="847"/>
      <c r="L9" s="847"/>
      <c r="M9" s="847"/>
      <c r="N9" s="1115"/>
      <c r="O9" s="1115"/>
      <c r="P9" s="1293"/>
    </row>
    <row r="10" spans="1:22" ht="15.75" thickBot="1">
      <c r="A10" s="1201"/>
      <c r="B10" s="1200"/>
      <c r="C10" s="1200"/>
      <c r="D10" s="1200"/>
      <c r="E10" s="1200"/>
      <c r="F10" s="1200"/>
      <c r="G10" s="1200"/>
      <c r="H10" s="1200"/>
      <c r="I10" s="1200"/>
      <c r="J10" s="1200"/>
      <c r="K10" s="1200"/>
      <c r="L10" s="1200"/>
      <c r="M10" s="1200"/>
      <c r="N10" s="1200"/>
      <c r="O10" s="1200"/>
      <c r="P10" s="1294"/>
      <c r="T10" s="70"/>
    </row>
    <row r="11" spans="1:22" ht="15" customHeight="1">
      <c r="A11" s="1289" t="s">
        <v>208</v>
      </c>
      <c r="B11" s="1297" t="s">
        <v>209</v>
      </c>
      <c r="C11" s="1297" t="s">
        <v>214</v>
      </c>
      <c r="D11" s="1269" t="s">
        <v>259</v>
      </c>
      <c r="E11" s="1268" t="s">
        <v>312</v>
      </c>
      <c r="F11" s="1268"/>
      <c r="G11" s="1268"/>
      <c r="H11" s="1268" t="s">
        <v>313</v>
      </c>
      <c r="I11" s="1268"/>
      <c r="J11" s="1268"/>
      <c r="K11" s="1268" t="s">
        <v>314</v>
      </c>
      <c r="L11" s="1268"/>
      <c r="M11" s="1268"/>
      <c r="N11" s="1259" t="s">
        <v>334</v>
      </c>
      <c r="O11" s="1262" t="s">
        <v>267</v>
      </c>
      <c r="P11" s="1265" t="s">
        <v>265</v>
      </c>
    </row>
    <row r="12" spans="1:22" ht="15" customHeight="1">
      <c r="A12" s="1290"/>
      <c r="B12" s="1298"/>
      <c r="C12" s="1298"/>
      <c r="D12" s="1270"/>
      <c r="E12" s="1257" t="s">
        <v>266</v>
      </c>
      <c r="F12" s="1302" t="s">
        <v>263</v>
      </c>
      <c r="G12" s="1257" t="s">
        <v>264</v>
      </c>
      <c r="H12" s="1257" t="s">
        <v>266</v>
      </c>
      <c r="I12" s="1302" t="s">
        <v>263</v>
      </c>
      <c r="J12" s="1257" t="s">
        <v>264</v>
      </c>
      <c r="K12" s="1257" t="s">
        <v>266</v>
      </c>
      <c r="L12" s="1302" t="s">
        <v>263</v>
      </c>
      <c r="M12" s="1257" t="s">
        <v>264</v>
      </c>
      <c r="N12" s="1260"/>
      <c r="O12" s="1263"/>
      <c r="P12" s="1266"/>
    </row>
    <row r="13" spans="1:22" ht="15.75" thickBot="1">
      <c r="A13" s="1291"/>
      <c r="B13" s="1299"/>
      <c r="C13" s="1299"/>
      <c r="D13" s="1271"/>
      <c r="E13" s="1258"/>
      <c r="F13" s="1303"/>
      <c r="G13" s="1258"/>
      <c r="H13" s="1258"/>
      <c r="I13" s="1303"/>
      <c r="J13" s="1258"/>
      <c r="K13" s="1258"/>
      <c r="L13" s="1303"/>
      <c r="M13" s="1258"/>
      <c r="N13" s="1261"/>
      <c r="O13" s="1264"/>
      <c r="P13" s="1267"/>
    </row>
    <row r="14" spans="1:22" ht="20.45" customHeight="1">
      <c r="A14" s="71">
        <f>'Emp.-Detail'!A9</f>
        <v>1</v>
      </c>
      <c r="B14" s="72" t="str">
        <f>'Emp.-Detail'!B9</f>
        <v>MADAN LAL PILANIYA</v>
      </c>
      <c r="C14" s="72" t="str">
        <f>'Emp.-Detail'!C9</f>
        <v>HEADMASTER</v>
      </c>
      <c r="D14" s="73" t="str">
        <f>'Emp.-Detail'!D9</f>
        <v>AQPPP7545Q</v>
      </c>
      <c r="E14" s="74">
        <f>'Emp-1'!Q12</f>
        <v>49350</v>
      </c>
      <c r="F14" s="75">
        <f>'Emp-1'!P12</f>
        <v>0</v>
      </c>
      <c r="G14" s="74">
        <f>'Emp-1'!O28</f>
        <v>1000</v>
      </c>
      <c r="H14" s="74">
        <f>'Emp-1'!Q13</f>
        <v>50831</v>
      </c>
      <c r="I14" s="75">
        <f>'Emp-1'!P13</f>
        <v>0</v>
      </c>
      <c r="J14" s="74">
        <f>'Emp-1'!O29</f>
        <v>1000</v>
      </c>
      <c r="K14" s="74">
        <f>'Emp-1'!Q14</f>
        <v>50831</v>
      </c>
      <c r="L14" s="75">
        <f>'Emp-1'!P14</f>
        <v>0</v>
      </c>
      <c r="M14" s="74">
        <f>'Emp-1'!O30</f>
        <v>1000</v>
      </c>
      <c r="N14" s="76">
        <f>E14+H14+K14</f>
        <v>151012</v>
      </c>
      <c r="O14" s="89">
        <f>F14+I14+L14</f>
        <v>0</v>
      </c>
      <c r="P14" s="78">
        <f>G14+J14+M14</f>
        <v>3000</v>
      </c>
      <c r="Q14" s="70"/>
    </row>
    <row r="15" spans="1:22" ht="20.45" customHeight="1">
      <c r="A15" s="79">
        <f>'Emp.-Detail'!A10</f>
        <v>2</v>
      </c>
      <c r="B15" s="80" t="str">
        <f>'Emp.-Detail'!B10</f>
        <v>JAGADISH PRASAD CHOUHAN</v>
      </c>
      <c r="C15" s="80" t="str">
        <f>'Emp.-Detail'!C10</f>
        <v>Lecturer</v>
      </c>
      <c r="D15" s="81" t="str">
        <f>'Emp.-Detail'!D10</f>
        <v>ABPPC0835K</v>
      </c>
      <c r="E15" s="74">
        <f>'Emp-2'!Q12</f>
        <v>59361</v>
      </c>
      <c r="F15" s="75">
        <f>'Emp-2'!P12</f>
        <v>0</v>
      </c>
      <c r="G15" s="74">
        <f>'Emp-2'!O28</f>
        <v>3500</v>
      </c>
      <c r="H15" s="74">
        <f>'Emp-2'!Q13</f>
        <v>61147</v>
      </c>
      <c r="I15" s="75">
        <f>'Emp-2'!P13</f>
        <v>0</v>
      </c>
      <c r="J15" s="74">
        <f>'Emp-2'!O29</f>
        <v>3500</v>
      </c>
      <c r="K15" s="74">
        <f>'Emp-2'!Q14</f>
        <v>65830</v>
      </c>
      <c r="L15" s="75">
        <f>'Emp-2'!P14</f>
        <v>0</v>
      </c>
      <c r="M15" s="74">
        <f>'Emp-2'!O30</f>
        <v>3500</v>
      </c>
      <c r="N15" s="82">
        <f t="shared" ref="N15:P31" si="0">E15+H15+K15</f>
        <v>186338</v>
      </c>
      <c r="O15" s="90">
        <f t="shared" si="0"/>
        <v>0</v>
      </c>
      <c r="P15" s="84">
        <f t="shared" si="0"/>
        <v>10500</v>
      </c>
    </row>
    <row r="16" spans="1:22" ht="20.45" customHeight="1">
      <c r="A16" s="79">
        <f>'Emp.-Detail'!A11</f>
        <v>3</v>
      </c>
      <c r="B16" s="80" t="str">
        <f>'Emp.-Detail'!B11</f>
        <v>RAM PRASHAD SHARMA</v>
      </c>
      <c r="C16" s="80" t="str">
        <f>'Emp.-Detail'!C11</f>
        <v>Lecturer</v>
      </c>
      <c r="D16" s="81" t="str">
        <f>'Emp.-Detail'!D11</f>
        <v>AGDPS0116J</v>
      </c>
      <c r="E16" s="74">
        <f>'Emp-3'!Q12</f>
        <v>58186</v>
      </c>
      <c r="F16" s="75">
        <f>'Emp-3'!P12</f>
        <v>0</v>
      </c>
      <c r="G16" s="74">
        <f>'Emp-3'!O28</f>
        <v>2000</v>
      </c>
      <c r="H16" s="74">
        <f>'Emp-3'!Q13</f>
        <v>59949</v>
      </c>
      <c r="I16" s="75">
        <f>'Emp-3'!P13</f>
        <v>0</v>
      </c>
      <c r="J16" s="74">
        <f>'Emp-3'!O29</f>
        <v>2000</v>
      </c>
      <c r="K16" s="74">
        <f>'Emp-3'!Q14</f>
        <v>64542</v>
      </c>
      <c r="L16" s="75">
        <f>'Emp-3'!P14</f>
        <v>0</v>
      </c>
      <c r="M16" s="74">
        <f>'Emp-3'!O30</f>
        <v>2000</v>
      </c>
      <c r="N16" s="82">
        <f t="shared" si="0"/>
        <v>182677</v>
      </c>
      <c r="O16" s="90">
        <f t="shared" si="0"/>
        <v>0</v>
      </c>
      <c r="P16" s="84">
        <f t="shared" si="0"/>
        <v>6000</v>
      </c>
    </row>
    <row r="17" spans="1:16" ht="20.45" customHeight="1">
      <c r="A17" s="79">
        <f>'Emp.-Detail'!A12</f>
        <v>4</v>
      </c>
      <c r="B17" s="80" t="str">
        <f>'Emp.-Detail'!B12</f>
        <v>BHAGIRATH GURDA</v>
      </c>
      <c r="C17" s="80" t="str">
        <f>'Emp.-Detail'!C12</f>
        <v>Lecturer</v>
      </c>
      <c r="D17" s="81" t="str">
        <f>'Emp.-Detail'!D12</f>
        <v>ADZPG8777C</v>
      </c>
      <c r="E17" s="74">
        <f>'Emp-4'!Q12</f>
        <v>55836</v>
      </c>
      <c r="F17" s="75">
        <f>'Emp-4'!P12</f>
        <v>0</v>
      </c>
      <c r="G17" s="74">
        <f>'Emp-4'!O28</f>
        <v>3000</v>
      </c>
      <c r="H17" s="74">
        <f>'Emp-4'!Q13</f>
        <v>57528</v>
      </c>
      <c r="I17" s="75">
        <f>'Emp-4'!P13</f>
        <v>0</v>
      </c>
      <c r="J17" s="74">
        <f>'Emp-4'!O29</f>
        <v>3000</v>
      </c>
      <c r="K17" s="74">
        <f>'Emp-4'!Q14</f>
        <v>61935</v>
      </c>
      <c r="L17" s="75">
        <f>'Emp-4'!P14</f>
        <v>0</v>
      </c>
      <c r="M17" s="74">
        <f>'Emp-4'!O30</f>
        <v>3000</v>
      </c>
      <c r="N17" s="82">
        <f t="shared" si="0"/>
        <v>175299</v>
      </c>
      <c r="O17" s="90">
        <f t="shared" si="0"/>
        <v>0</v>
      </c>
      <c r="P17" s="84">
        <f t="shared" si="0"/>
        <v>9000</v>
      </c>
    </row>
    <row r="18" spans="1:16" ht="20.45" customHeight="1">
      <c r="A18" s="79">
        <f>'Emp.-Detail'!A13</f>
        <v>5</v>
      </c>
      <c r="B18" s="80" t="str">
        <f>'Emp.-Detail'!B13</f>
        <v xml:space="preserve">DEVKRAN SINGH </v>
      </c>
      <c r="C18" s="80" t="str">
        <f>'Emp.-Detail'!C13</f>
        <v>Lecturer</v>
      </c>
      <c r="D18" s="81" t="str">
        <f>'Emp.-Detail'!D13</f>
        <v>AMCPS4395J</v>
      </c>
      <c r="E18" s="74">
        <f>'Emp-5'!Q12</f>
        <v>55836</v>
      </c>
      <c r="F18" s="75">
        <f>'Emp-5'!P12</f>
        <v>0</v>
      </c>
      <c r="G18" s="74">
        <f>'Emp-5'!O28</f>
        <v>3000</v>
      </c>
      <c r="H18" s="74">
        <f>'Emp-5'!Q13</f>
        <v>57528</v>
      </c>
      <c r="I18" s="75">
        <f>'Emp-5'!P13</f>
        <v>0</v>
      </c>
      <c r="J18" s="74">
        <f>'Emp-5'!O29</f>
        <v>3000</v>
      </c>
      <c r="K18" s="74">
        <f>'Emp-5'!Q14</f>
        <v>61935</v>
      </c>
      <c r="L18" s="75">
        <f>'Emp-5'!P14</f>
        <v>0</v>
      </c>
      <c r="M18" s="74">
        <f>'Emp-5'!O30</f>
        <v>3000</v>
      </c>
      <c r="N18" s="82">
        <f t="shared" si="0"/>
        <v>175299</v>
      </c>
      <c r="O18" s="90">
        <f t="shared" si="0"/>
        <v>0</v>
      </c>
      <c r="P18" s="84">
        <f t="shared" si="0"/>
        <v>9000</v>
      </c>
    </row>
    <row r="19" spans="1:16" ht="20.45" customHeight="1">
      <c r="A19" s="79">
        <f>'Emp.-Detail'!A14</f>
        <v>6</v>
      </c>
      <c r="B19" s="80" t="str">
        <f>'Emp.-Detail'!B14</f>
        <v xml:space="preserve">CHANDAR KALA </v>
      </c>
      <c r="C19" s="80" t="str">
        <f>'Emp.-Detail'!C14</f>
        <v>Lecturer</v>
      </c>
      <c r="D19" s="81" t="str">
        <f>'Emp.-Detail'!D14</f>
        <v>ACNPV0041M</v>
      </c>
      <c r="E19" s="74">
        <f>'Emp-6'!Q12</f>
        <v>54732</v>
      </c>
      <c r="F19" s="75">
        <f>'Emp-6'!P12</f>
        <v>0</v>
      </c>
      <c r="G19" s="74">
        <f>'Emp-6'!O28</f>
        <v>2000</v>
      </c>
      <c r="H19" s="74">
        <f>'Emp-6'!Q13</f>
        <v>56377</v>
      </c>
      <c r="I19" s="75">
        <f>'Emp-6'!P13</f>
        <v>0</v>
      </c>
      <c r="J19" s="74">
        <f>'Emp-6'!O29</f>
        <v>2000</v>
      </c>
      <c r="K19" s="74">
        <f>'Emp-6'!Q14</f>
        <v>60694</v>
      </c>
      <c r="L19" s="75">
        <f>'Emp-6'!P14</f>
        <v>0</v>
      </c>
      <c r="M19" s="74">
        <f>'Emp-6'!O30</f>
        <v>2000</v>
      </c>
      <c r="N19" s="82">
        <f t="shared" si="0"/>
        <v>171803</v>
      </c>
      <c r="O19" s="90">
        <f t="shared" si="0"/>
        <v>0</v>
      </c>
      <c r="P19" s="84">
        <f t="shared" si="0"/>
        <v>6000</v>
      </c>
    </row>
    <row r="20" spans="1:16" ht="20.45" customHeight="1">
      <c r="A20" s="79">
        <f>'Emp.-Detail'!A15</f>
        <v>7</v>
      </c>
      <c r="B20" s="80" t="str">
        <f>'Emp.-Detail'!B15</f>
        <v>BHOMA RAM MEENA</v>
      </c>
      <c r="C20" s="80" t="str">
        <f>'Emp.-Detail'!C15</f>
        <v>Lecturer</v>
      </c>
      <c r="D20" s="81" t="str">
        <f>'Emp.-Detail'!D15</f>
        <v>ACLPM3827E</v>
      </c>
      <c r="E20" s="74">
        <f>'Emp-7'!Q12</f>
        <v>49468</v>
      </c>
      <c r="F20" s="75">
        <f>'Emp-7'!P12</f>
        <v>0</v>
      </c>
      <c r="G20" s="74">
        <f>'Emp-7'!O28</f>
        <v>2000</v>
      </c>
      <c r="H20" s="74">
        <f>'Emp-7'!Q13</f>
        <v>50972</v>
      </c>
      <c r="I20" s="75">
        <f>'Emp-7'!P13</f>
        <v>0</v>
      </c>
      <c r="J20" s="74">
        <f>'Emp-7'!O29</f>
        <v>2000</v>
      </c>
      <c r="K20" s="74">
        <f>'Emp-7'!Q14</f>
        <v>54875</v>
      </c>
      <c r="L20" s="75">
        <f>'Emp-7'!P14</f>
        <v>0</v>
      </c>
      <c r="M20" s="74">
        <f>'Emp-7'!O30</f>
        <v>2000</v>
      </c>
      <c r="N20" s="82">
        <f t="shared" si="0"/>
        <v>155315</v>
      </c>
      <c r="O20" s="90">
        <f t="shared" si="0"/>
        <v>0</v>
      </c>
      <c r="P20" s="84">
        <f t="shared" si="0"/>
        <v>6000</v>
      </c>
    </row>
    <row r="21" spans="1:16" ht="20.45" customHeight="1">
      <c r="A21" s="79">
        <f>'Emp.-Detail'!A16</f>
        <v>8</v>
      </c>
      <c r="B21" s="80" t="str">
        <f>'Emp.-Detail'!B16</f>
        <v>VIJAY CHOUDHARY</v>
      </c>
      <c r="C21" s="80" t="str">
        <f>'Emp.-Detail'!C16</f>
        <v>Lecturer</v>
      </c>
      <c r="D21" s="81" t="str">
        <f>'Emp.-Detail'!D16</f>
        <v>AHMPC9320N</v>
      </c>
      <c r="E21" s="74">
        <f>'Emp-8'!Q12</f>
        <v>48645</v>
      </c>
      <c r="F21" s="75">
        <f>'Emp-8'!P12</f>
        <v>0</v>
      </c>
      <c r="G21" s="74">
        <f>'Emp-8'!O28</f>
        <v>2000</v>
      </c>
      <c r="H21" s="74">
        <f>'Emp-8'!Q13</f>
        <v>50126</v>
      </c>
      <c r="I21" s="75">
        <f>'Emp-8'!P13</f>
        <v>0</v>
      </c>
      <c r="J21" s="74">
        <f>'Emp-8'!O29</f>
        <v>2000</v>
      </c>
      <c r="K21" s="74">
        <f>'Emp-8'!Q14</f>
        <v>53966</v>
      </c>
      <c r="L21" s="75">
        <f>'Emp-8'!P14</f>
        <v>0</v>
      </c>
      <c r="M21" s="74">
        <f>'Emp-8'!O30</f>
        <v>2000</v>
      </c>
      <c r="N21" s="82">
        <f t="shared" si="0"/>
        <v>152737</v>
      </c>
      <c r="O21" s="90">
        <f t="shared" si="0"/>
        <v>0</v>
      </c>
      <c r="P21" s="84">
        <f t="shared" si="0"/>
        <v>6000</v>
      </c>
    </row>
    <row r="22" spans="1:16" ht="20.45" customHeight="1">
      <c r="A22" s="79">
        <f>'Emp.-Detail'!A17</f>
        <v>9</v>
      </c>
      <c r="B22" s="80" t="str">
        <f>'Emp.-Detail'!B17</f>
        <v xml:space="preserve">KAMALESH KUMAR </v>
      </c>
      <c r="C22" s="80" t="str">
        <f>'Emp.-Detail'!C17</f>
        <v>Lecturer</v>
      </c>
      <c r="D22" s="81" t="str">
        <f>'Emp.-Detail'!D17</f>
        <v>DLLPK8818M</v>
      </c>
      <c r="E22" s="74">
        <f>'Emp-9'!Q12</f>
        <v>46765</v>
      </c>
      <c r="F22" s="75">
        <f>'Emp-9'!P12</f>
        <v>0</v>
      </c>
      <c r="G22" s="74">
        <f>'Emp-9'!O28</f>
        <v>2000</v>
      </c>
      <c r="H22" s="74">
        <f>'Emp-9'!Q13</f>
        <v>48175</v>
      </c>
      <c r="I22" s="75">
        <f>'Emp-9'!P13</f>
        <v>0</v>
      </c>
      <c r="J22" s="74">
        <f>'Emp-9'!O29</f>
        <v>2000</v>
      </c>
      <c r="K22" s="74">
        <f>'Emp-9'!Q14</f>
        <v>51865</v>
      </c>
      <c r="L22" s="75">
        <f>'Emp-9'!P14</f>
        <v>0</v>
      </c>
      <c r="M22" s="74">
        <f>'Emp-9'!O30</f>
        <v>2000</v>
      </c>
      <c r="N22" s="82">
        <f t="shared" si="0"/>
        <v>146805</v>
      </c>
      <c r="O22" s="90">
        <f t="shared" si="0"/>
        <v>0</v>
      </c>
      <c r="P22" s="84">
        <f t="shared" si="0"/>
        <v>6000</v>
      </c>
    </row>
    <row r="23" spans="1:16" ht="20.45" customHeight="1">
      <c r="A23" s="79">
        <f>'Emp.-Detail'!A18</f>
        <v>10</v>
      </c>
      <c r="B23" s="80" t="str">
        <f>'Emp.-Detail'!B18</f>
        <v xml:space="preserve">SITARAM DADHICH </v>
      </c>
      <c r="C23" s="80" t="str">
        <f>'Emp.-Detail'!C18</f>
        <v>Lecturer</v>
      </c>
      <c r="D23" s="81" t="str">
        <f>'Emp.-Detail'!D18</f>
        <v>AFZPD5085N</v>
      </c>
      <c r="E23" s="74">
        <f>'Emp-10'!Q12</f>
        <v>45402</v>
      </c>
      <c r="F23" s="75">
        <f>'Emp-10'!P12</f>
        <v>0</v>
      </c>
      <c r="G23" s="74">
        <f>'Emp-10'!O28</f>
        <v>1500</v>
      </c>
      <c r="H23" s="74">
        <f>'Emp-10'!Q13</f>
        <v>46765</v>
      </c>
      <c r="I23" s="75">
        <f>'Emp-10'!P13</f>
        <v>0</v>
      </c>
      <c r="J23" s="74">
        <f>'Emp-10'!O29</f>
        <v>1500</v>
      </c>
      <c r="K23" s="74">
        <f>'Emp-10'!Q14</f>
        <v>50347</v>
      </c>
      <c r="L23" s="75">
        <f>'Emp-10'!P14</f>
        <v>0</v>
      </c>
      <c r="M23" s="74">
        <f>'Emp-10'!O30</f>
        <v>1500</v>
      </c>
      <c r="N23" s="82">
        <f t="shared" si="0"/>
        <v>142514</v>
      </c>
      <c r="O23" s="90">
        <f t="shared" si="0"/>
        <v>0</v>
      </c>
      <c r="P23" s="84">
        <f t="shared" si="0"/>
        <v>4500</v>
      </c>
    </row>
    <row r="24" spans="1:16" ht="20.45" customHeight="1">
      <c r="A24" s="79">
        <f>'Emp.-Detail'!A19</f>
        <v>11</v>
      </c>
      <c r="B24" s="80" t="str">
        <f>'Emp.-Detail'!B19</f>
        <v xml:space="preserve">VIJAY SINGH </v>
      </c>
      <c r="C24" s="80" t="str">
        <f>'Emp.-Detail'!C19</f>
        <v>Sr. Teacher</v>
      </c>
      <c r="D24" s="81" t="str">
        <f>'Emp.-Detail'!D19</f>
        <v>AIDPS3122L</v>
      </c>
      <c r="E24" s="74">
        <f>'Emp-11'!Q12</f>
        <v>59949</v>
      </c>
      <c r="F24" s="75">
        <f>'Emp-11'!P12</f>
        <v>0</v>
      </c>
      <c r="G24" s="74">
        <f>'Emp-11'!O28</f>
        <v>1000</v>
      </c>
      <c r="H24" s="74">
        <f>'Emp-11'!Q13</f>
        <v>61758</v>
      </c>
      <c r="I24" s="75">
        <f>'Emp-11'!P13</f>
        <v>0</v>
      </c>
      <c r="J24" s="74">
        <f>'Emp-11'!O29</f>
        <v>1000</v>
      </c>
      <c r="K24" s="74">
        <f>'Emp-11'!Q14</f>
        <v>66489</v>
      </c>
      <c r="L24" s="75">
        <f>'Emp-11'!P14</f>
        <v>0</v>
      </c>
      <c r="M24" s="74">
        <f>'Emp-11'!O30</f>
        <v>1000</v>
      </c>
      <c r="N24" s="82">
        <f t="shared" si="0"/>
        <v>188196</v>
      </c>
      <c r="O24" s="90">
        <f t="shared" si="0"/>
        <v>0</v>
      </c>
      <c r="P24" s="84">
        <f t="shared" si="0"/>
        <v>3000</v>
      </c>
    </row>
    <row r="25" spans="1:16" ht="20.45" customHeight="1">
      <c r="A25" s="79">
        <f>'Emp.-Detail'!A20</f>
        <v>12</v>
      </c>
      <c r="B25" s="80" t="str">
        <f>'Emp.-Detail'!B20</f>
        <v>RANVEER SINGH</v>
      </c>
      <c r="C25" s="80" t="str">
        <f>'Emp.-Detail'!C20</f>
        <v>Sr. Teacher</v>
      </c>
      <c r="D25" s="81" t="str">
        <f>'Emp.-Detail'!D20</f>
        <v>ABKPM3872F</v>
      </c>
      <c r="E25" s="74">
        <f>'Emp-12'!Q12</f>
        <v>59831</v>
      </c>
      <c r="F25" s="75">
        <f>'Emp-12'!P12</f>
        <v>0</v>
      </c>
      <c r="G25" s="74">
        <f>'Emp-12'!O28</f>
        <v>2000</v>
      </c>
      <c r="H25" s="74">
        <f>'Emp-12'!Q13</f>
        <v>61641</v>
      </c>
      <c r="I25" s="75">
        <f>'Emp-12'!P13</f>
        <v>0</v>
      </c>
      <c r="J25" s="74">
        <f>'Emp-12'!O29</f>
        <v>2000</v>
      </c>
      <c r="K25" s="74">
        <f>'Emp-12'!Q14</f>
        <v>66363</v>
      </c>
      <c r="L25" s="75">
        <f>'Emp-12'!P14</f>
        <v>0</v>
      </c>
      <c r="M25" s="74">
        <f>'Emp-12'!O30</f>
        <v>2000</v>
      </c>
      <c r="N25" s="82">
        <f t="shared" si="0"/>
        <v>187835</v>
      </c>
      <c r="O25" s="90">
        <f t="shared" si="0"/>
        <v>0</v>
      </c>
      <c r="P25" s="84">
        <f t="shared" si="0"/>
        <v>6000</v>
      </c>
    </row>
    <row r="26" spans="1:16" ht="20.45" customHeight="1">
      <c r="A26" s="79">
        <f>'Emp.-Detail'!A21</f>
        <v>13</v>
      </c>
      <c r="B26" s="80" t="str">
        <f>'Emp.-Detail'!B21</f>
        <v>VIJAY SANKAR SHARAMA</v>
      </c>
      <c r="C26" s="80" t="str">
        <f>'Emp.-Detail'!C21</f>
        <v>Sr. Teacher</v>
      </c>
      <c r="D26" s="81" t="str">
        <f>'Emp.-Detail'!D21</f>
        <v>ADUPS1283L</v>
      </c>
      <c r="E26" s="74">
        <f>'Emp-13'!Q12</f>
        <v>59361</v>
      </c>
      <c r="F26" s="75">
        <f>'Emp-13'!P12</f>
        <v>0</v>
      </c>
      <c r="G26" s="74">
        <f>'Emp-13'!O28</f>
        <v>3500</v>
      </c>
      <c r="H26" s="74">
        <f>'Emp-13'!Q13</f>
        <v>61147</v>
      </c>
      <c r="I26" s="75">
        <f>'Emp-13'!P13</f>
        <v>0</v>
      </c>
      <c r="J26" s="74">
        <f>'Emp-13'!O29</f>
        <v>3500</v>
      </c>
      <c r="K26" s="74">
        <f>'Emp-13'!Q14</f>
        <v>65830</v>
      </c>
      <c r="L26" s="75">
        <f>'Emp-13'!P14</f>
        <v>0</v>
      </c>
      <c r="M26" s="74">
        <f>'Emp-13'!O30</f>
        <v>3500</v>
      </c>
      <c r="N26" s="82">
        <f t="shared" si="0"/>
        <v>186338</v>
      </c>
      <c r="O26" s="90">
        <f t="shared" si="0"/>
        <v>0</v>
      </c>
      <c r="P26" s="84">
        <f t="shared" si="0"/>
        <v>10500</v>
      </c>
    </row>
    <row r="27" spans="1:16" ht="20.45" customHeight="1">
      <c r="A27" s="79">
        <f>'Emp.-Detail'!A22</f>
        <v>14</v>
      </c>
      <c r="B27" s="80" t="str">
        <f>'Emp.-Detail'!B22</f>
        <v xml:space="preserve">GOVIND RAM BHATI </v>
      </c>
      <c r="C27" s="80" t="str">
        <f>'Emp.-Detail'!C22</f>
        <v>Sr. Teacher</v>
      </c>
      <c r="D27" s="81" t="str">
        <f>'Emp.-Detail'!D22</f>
        <v>ASHPR1636E</v>
      </c>
      <c r="E27" s="74">
        <f>'Emp-14'!Q12</f>
        <v>50290</v>
      </c>
      <c r="F27" s="75">
        <f>'Emp-14'!P12</f>
        <v>0</v>
      </c>
      <c r="G27" s="74">
        <f>'Emp-14'!O28</f>
        <v>2000</v>
      </c>
      <c r="H27" s="74">
        <f>'Emp-14'!Q13</f>
        <v>51818</v>
      </c>
      <c r="I27" s="75">
        <f>'Emp-14'!P13</f>
        <v>0</v>
      </c>
      <c r="J27" s="74">
        <f>'Emp-14'!O29</f>
        <v>2000</v>
      </c>
      <c r="K27" s="74">
        <f>'Emp-14'!Q14</f>
        <v>55787</v>
      </c>
      <c r="L27" s="75">
        <f>'Emp-14'!P14</f>
        <v>0</v>
      </c>
      <c r="M27" s="74">
        <f>'Emp-14'!O30</f>
        <v>2000</v>
      </c>
      <c r="N27" s="82">
        <f t="shared" si="0"/>
        <v>157895</v>
      </c>
      <c r="O27" s="90">
        <f t="shared" si="0"/>
        <v>0</v>
      </c>
      <c r="P27" s="84">
        <f t="shared" si="0"/>
        <v>6000</v>
      </c>
    </row>
    <row r="28" spans="1:16" ht="20.45" customHeight="1">
      <c r="A28" s="79">
        <f>'Emp.-Detail'!A23</f>
        <v>15</v>
      </c>
      <c r="B28" s="80" t="str">
        <f>'Emp.-Detail'!B23</f>
        <v>RAJ KUMAR TANWAR</v>
      </c>
      <c r="C28" s="80" t="str">
        <f>'Emp.-Detail'!C23</f>
        <v>Lab. Asist.</v>
      </c>
      <c r="D28" s="81" t="str">
        <f>'Emp.-Detail'!D23</f>
        <v>ACPPT9605F</v>
      </c>
      <c r="E28" s="74">
        <f>'Emp-15'!Q12</f>
        <v>55578</v>
      </c>
      <c r="F28" s="75">
        <f>'Emp-15'!P12</f>
        <v>0</v>
      </c>
      <c r="G28" s="74">
        <f>'Emp-15'!O28</f>
        <v>2000</v>
      </c>
      <c r="H28" s="74">
        <f>'Emp-15'!Q13</f>
        <v>57246</v>
      </c>
      <c r="I28" s="75">
        <f>'Emp-15'!P13</f>
        <v>0</v>
      </c>
      <c r="J28" s="74">
        <f>'Emp-15'!O29</f>
        <v>2000</v>
      </c>
      <c r="K28" s="74">
        <f>'Emp-15'!Q14</f>
        <v>61632</v>
      </c>
      <c r="L28" s="75">
        <f>'Emp-15'!P14</f>
        <v>0</v>
      </c>
      <c r="M28" s="74">
        <f>'Emp-15'!O30</f>
        <v>2000</v>
      </c>
      <c r="N28" s="82">
        <f t="shared" si="0"/>
        <v>174456</v>
      </c>
      <c r="O28" s="90">
        <f t="shared" si="0"/>
        <v>0</v>
      </c>
      <c r="P28" s="84">
        <f t="shared" si="0"/>
        <v>6000</v>
      </c>
    </row>
    <row r="29" spans="1:16" ht="20.45" customHeight="1">
      <c r="A29" s="79">
        <f>'Emp.-Detail'!A24</f>
        <v>16</v>
      </c>
      <c r="B29" s="80" t="str">
        <f>'Emp.-Detail'!B24</f>
        <v>VIJAY KUMAR DENWAL</v>
      </c>
      <c r="C29" s="80" t="str">
        <f>'Emp.-Detail'!C24</f>
        <v>UDC</v>
      </c>
      <c r="D29" s="81" t="str">
        <f>'Emp.-Detail'!D24</f>
        <v>AKPPD4869B</v>
      </c>
      <c r="E29" s="74">
        <f>'Emp-16'!Q12</f>
        <v>38352</v>
      </c>
      <c r="F29" s="75">
        <f>'Emp-16'!P12</f>
        <v>0</v>
      </c>
      <c r="G29" s="74">
        <f>'Emp-16'!O28</f>
        <v>1500</v>
      </c>
      <c r="H29" s="74">
        <f>'Emp-16'!Q13</f>
        <v>39504</v>
      </c>
      <c r="I29" s="75">
        <f>'Emp-16'!P13</f>
        <v>0</v>
      </c>
      <c r="J29" s="74">
        <f>'Emp-16'!O29</f>
        <v>1500</v>
      </c>
      <c r="K29" s="74">
        <f>'Emp-16'!Q14</f>
        <v>42531</v>
      </c>
      <c r="L29" s="75">
        <f>'Emp-16'!P14</f>
        <v>0</v>
      </c>
      <c r="M29" s="74">
        <f>'Emp-16'!O30</f>
        <v>1500</v>
      </c>
      <c r="N29" s="82">
        <f t="shared" si="0"/>
        <v>120387</v>
      </c>
      <c r="O29" s="90">
        <f t="shared" si="0"/>
        <v>0</v>
      </c>
      <c r="P29" s="84">
        <f t="shared" si="0"/>
        <v>4500</v>
      </c>
    </row>
    <row r="30" spans="1:16" ht="20.45" customHeight="1">
      <c r="A30" s="79">
        <f>'Emp.-Detail'!A25</f>
        <v>17</v>
      </c>
      <c r="B30" s="80" t="str">
        <f>'Emp.-Detail'!B25</f>
        <v>DEEP CHAND PRAJAPAT</v>
      </c>
      <c r="C30" s="80" t="str">
        <f>'Emp.-Detail'!C25</f>
        <v>UDC</v>
      </c>
      <c r="D30" s="81" t="str">
        <f>'Emp.-Detail'!D25</f>
        <v>BDRPP3136R</v>
      </c>
      <c r="E30" s="74">
        <f>'Emp-17'!Q12</f>
        <v>35744</v>
      </c>
      <c r="F30" s="75">
        <f>'Emp-17'!P12</f>
        <v>0</v>
      </c>
      <c r="G30" s="74">
        <f>'Emp-17'!O28</f>
        <v>0</v>
      </c>
      <c r="H30" s="74">
        <f>'Emp-17'!Q13</f>
        <v>36825</v>
      </c>
      <c r="I30" s="75">
        <f>'Emp-17'!P13</f>
        <v>0</v>
      </c>
      <c r="J30" s="74">
        <f>'Emp-17'!O29</f>
        <v>0</v>
      </c>
      <c r="K30" s="74">
        <f>'Emp-17'!Q14</f>
        <v>39645</v>
      </c>
      <c r="L30" s="75">
        <f>'Emp-17'!P14</f>
        <v>0</v>
      </c>
      <c r="M30" s="74">
        <f>'Emp-17'!O30</f>
        <v>0</v>
      </c>
      <c r="N30" s="82">
        <f t="shared" si="0"/>
        <v>112214</v>
      </c>
      <c r="O30" s="90">
        <f t="shared" si="0"/>
        <v>0</v>
      </c>
      <c r="P30" s="84">
        <f t="shared" si="0"/>
        <v>0</v>
      </c>
    </row>
    <row r="31" spans="1:16" ht="20.45" customHeight="1">
      <c r="A31" s="79">
        <f>'Emp.-Detail'!A26</f>
        <v>18</v>
      </c>
      <c r="B31" s="80" t="str">
        <f>'Emp.-Detail'!B26</f>
        <v xml:space="preserve">MANGI LAL </v>
      </c>
      <c r="C31" s="80" t="str">
        <f>'Emp.-Detail'!C26</f>
        <v>LDC</v>
      </c>
      <c r="D31" s="81" t="str">
        <f>'Emp.-Detail'!D26</f>
        <v>AMPPD4396D</v>
      </c>
      <c r="E31" s="74">
        <f>'Emp-18'!Q12</f>
        <v>30409</v>
      </c>
      <c r="F31" s="75">
        <f>'Emp-18'!P12</f>
        <v>0</v>
      </c>
      <c r="G31" s="74">
        <f>'Emp-18'!O28</f>
        <v>0</v>
      </c>
      <c r="H31" s="74">
        <f>'Emp-18'!Q13</f>
        <v>31326</v>
      </c>
      <c r="I31" s="75">
        <f>'Emp-18'!P13</f>
        <v>0</v>
      </c>
      <c r="J31" s="74">
        <f>'Emp-18'!O29</f>
        <v>0</v>
      </c>
      <c r="K31" s="74">
        <f>'Emp-18'!Q14</f>
        <v>33726</v>
      </c>
      <c r="L31" s="75">
        <f>'Emp-18'!P14</f>
        <v>0</v>
      </c>
      <c r="M31" s="74">
        <f>'Emp-18'!O30</f>
        <v>0</v>
      </c>
      <c r="N31" s="82">
        <f t="shared" si="0"/>
        <v>95461</v>
      </c>
      <c r="O31" s="90">
        <f t="shared" si="0"/>
        <v>0</v>
      </c>
      <c r="P31" s="84">
        <f t="shared" si="0"/>
        <v>0</v>
      </c>
    </row>
    <row r="32" spans="1:16" ht="20.45" customHeight="1">
      <c r="A32" s="79">
        <f>'Emp.-Detail'!A27</f>
        <v>19</v>
      </c>
      <c r="B32" s="80" t="str">
        <f>'Emp.-Detail'!B27</f>
        <v xml:space="preserve">KAMAL KISHOR RANKAWAT </v>
      </c>
      <c r="C32" s="80" t="str">
        <f>'Emp.-Detail'!C27</f>
        <v>LDC</v>
      </c>
      <c r="D32" s="81" t="str">
        <f>'Emp.-Detail'!D27</f>
        <v>AVUPR4488E</v>
      </c>
      <c r="E32" s="74">
        <f>'Emp-19'!Q12</f>
        <v>24558</v>
      </c>
      <c r="F32" s="75">
        <f>'Emp-19'!P12</f>
        <v>0</v>
      </c>
      <c r="G32" s="74">
        <f>'Emp-19'!O28</f>
        <v>0</v>
      </c>
      <c r="H32" s="74">
        <f>'Emp-19'!Q13</f>
        <v>25310</v>
      </c>
      <c r="I32" s="75">
        <f>'Emp-19'!P13</f>
        <v>0</v>
      </c>
      <c r="J32" s="74">
        <f>'Emp-19'!O29</f>
        <v>0</v>
      </c>
      <c r="K32" s="74">
        <f>'Emp-19'!Q14</f>
        <v>27248</v>
      </c>
      <c r="L32" s="75">
        <f>'Emp-19'!P14</f>
        <v>0</v>
      </c>
      <c r="M32" s="74">
        <f>'Emp-19'!O30</f>
        <v>0</v>
      </c>
      <c r="N32" s="82">
        <f t="shared" ref="N32:P33" si="1">E32+H32+K32</f>
        <v>77116</v>
      </c>
      <c r="O32" s="90">
        <f t="shared" si="1"/>
        <v>0</v>
      </c>
      <c r="P32" s="84">
        <f t="shared" si="1"/>
        <v>0</v>
      </c>
    </row>
    <row r="33" spans="1:19" ht="20.45" customHeight="1">
      <c r="A33" s="79">
        <f>'Emp.-Detail'!A28</f>
        <v>20</v>
      </c>
      <c r="B33" s="80" t="str">
        <f>'Emp.-Detail'!B28</f>
        <v>VINOD KUMAR SHARMA</v>
      </c>
      <c r="C33" s="80" t="str">
        <f>'Emp.-Detail'!C28</f>
        <v>Lab.Boy.</v>
      </c>
      <c r="D33" s="81" t="str">
        <f>'Emp.-Detail'!D28</f>
        <v>CJOPK0625C</v>
      </c>
      <c r="E33" s="74">
        <f>'Emp-20'!Q12</f>
        <v>25709</v>
      </c>
      <c r="F33" s="75">
        <f>'Emp-20'!P12</f>
        <v>0</v>
      </c>
      <c r="G33" s="74">
        <f>'Emp-20'!O28</f>
        <v>0</v>
      </c>
      <c r="H33" s="74">
        <f>'Emp-20'!Q13</f>
        <v>26485</v>
      </c>
      <c r="I33" s="75">
        <f>'Emp-20'!P13</f>
        <v>0</v>
      </c>
      <c r="J33" s="74">
        <f>'Emp-20'!O29</f>
        <v>0</v>
      </c>
      <c r="K33" s="74">
        <f>'Emp-20'!Q14</f>
        <v>28513</v>
      </c>
      <c r="L33" s="75">
        <f>'Emp-20'!P14</f>
        <v>0</v>
      </c>
      <c r="M33" s="74">
        <f>'Emp-20'!O30</f>
        <v>0</v>
      </c>
      <c r="N33" s="82">
        <f t="shared" si="1"/>
        <v>80707</v>
      </c>
      <c r="O33" s="90">
        <f t="shared" si="1"/>
        <v>0</v>
      </c>
      <c r="P33" s="84">
        <f t="shared" si="1"/>
        <v>0</v>
      </c>
    </row>
    <row r="34" spans="1:19" ht="14.1" customHeight="1">
      <c r="A34" s="1284" t="s">
        <v>272</v>
      </c>
      <c r="B34" s="1285"/>
      <c r="C34" s="1285"/>
      <c r="D34" s="1285"/>
      <c r="E34" s="1285"/>
      <c r="F34" s="1285"/>
      <c r="G34" s="1285"/>
      <c r="H34" s="1285"/>
      <c r="I34" s="1285"/>
      <c r="J34" s="1285"/>
      <c r="K34" s="1285"/>
      <c r="L34" s="1285"/>
      <c r="M34" s="1285"/>
      <c r="N34" s="1285"/>
      <c r="O34" s="1285"/>
      <c r="P34" s="1286"/>
    </row>
    <row r="35" spans="1:19" ht="18">
      <c r="A35" s="85" t="s">
        <v>11</v>
      </c>
      <c r="B35" s="86" t="str">
        <f>'DDO '!F8</f>
        <v>LADURAM JAT</v>
      </c>
      <c r="C35" s="780" t="s">
        <v>50</v>
      </c>
      <c r="D35" s="780"/>
      <c r="E35" s="794" t="str">
        <f>'DDO '!F10</f>
        <v>PRINCIPAL</v>
      </c>
      <c r="F35" s="794"/>
      <c r="G35" s="794"/>
      <c r="H35" s="780" t="s">
        <v>275</v>
      </c>
      <c r="I35" s="780"/>
      <c r="J35" s="780"/>
      <c r="K35" s="780"/>
      <c r="L35" s="780"/>
      <c r="M35" s="780"/>
      <c r="N35" s="780"/>
      <c r="O35" s="780"/>
      <c r="P35" s="781"/>
    </row>
    <row r="36" spans="1:19">
      <c r="A36" s="87"/>
      <c r="B36" s="88" t="s">
        <v>273</v>
      </c>
      <c r="C36" s="794" t="str">
        <f>'DDO '!F22</f>
        <v>Govt. PCB Sr. Sec. School, Sujangarh</v>
      </c>
      <c r="D36" s="794"/>
      <c r="E36" s="794"/>
      <c r="F36" s="794"/>
      <c r="G36" s="1295" t="s">
        <v>274</v>
      </c>
      <c r="H36" s="1295"/>
      <c r="I36" s="1295"/>
      <c r="J36" s="1295"/>
      <c r="K36" s="1295"/>
      <c r="L36" s="1295"/>
      <c r="M36" s="1295"/>
      <c r="N36" s="1295"/>
      <c r="O36" s="1295"/>
      <c r="P36" s="1296"/>
    </row>
    <row r="37" spans="1:19" ht="9.9499999999999993" customHeight="1">
      <c r="A37" s="410"/>
      <c r="B37" s="1119"/>
      <c r="C37" s="1119"/>
      <c r="D37" s="1119"/>
      <c r="E37" s="1119"/>
      <c r="F37" s="1119"/>
      <c r="G37" s="1119"/>
      <c r="H37" s="1119"/>
      <c r="I37" s="1119"/>
      <c r="J37" s="1119"/>
      <c r="K37" s="1119"/>
      <c r="L37" s="1119"/>
      <c r="M37" s="1119"/>
      <c r="N37" s="1119"/>
      <c r="O37" s="1119"/>
      <c r="P37" s="411"/>
      <c r="S37" s="70"/>
    </row>
    <row r="38" spans="1:19" ht="9.9499999999999993" customHeight="1">
      <c r="A38" s="410"/>
      <c r="B38" s="1119"/>
      <c r="C38" s="1119"/>
      <c r="D38" s="1119"/>
      <c r="E38" s="1119"/>
      <c r="F38" s="1119"/>
      <c r="G38" s="1119"/>
      <c r="H38" s="1119"/>
      <c r="I38" s="1119"/>
      <c r="J38" s="1119"/>
      <c r="K38" s="1119"/>
      <c r="L38" s="1119"/>
      <c r="M38" s="1119"/>
      <c r="N38" s="1119"/>
      <c r="O38" s="1119"/>
      <c r="P38" s="411"/>
    </row>
    <row r="39" spans="1:19" ht="9.9499999999999993" customHeight="1">
      <c r="A39" s="410"/>
      <c r="B39" s="1119"/>
      <c r="C39" s="1119"/>
      <c r="D39" s="1119"/>
      <c r="E39" s="1119"/>
      <c r="F39" s="1119"/>
      <c r="G39" s="1119"/>
      <c r="H39" s="1119"/>
      <c r="I39" s="1119"/>
      <c r="J39" s="1119"/>
      <c r="K39" s="1119"/>
      <c r="L39" s="1119"/>
      <c r="M39" s="1119"/>
      <c r="N39" s="1119"/>
      <c r="O39" s="1119"/>
      <c r="P39" s="411"/>
    </row>
    <row r="40" spans="1:19" ht="15.75" thickBot="1">
      <c r="A40" s="91"/>
      <c r="B40" s="92"/>
      <c r="C40" s="92"/>
      <c r="D40" s="92"/>
      <c r="E40" s="1273" t="s">
        <v>215</v>
      </c>
      <c r="F40" s="1273"/>
      <c r="G40" s="1273"/>
      <c r="H40" s="1273"/>
      <c r="I40" s="1273"/>
      <c r="J40" s="1273"/>
      <c r="K40" s="1282" t="s">
        <v>53</v>
      </c>
      <c r="L40" s="1282"/>
      <c r="M40" s="1282"/>
      <c r="N40" s="1282"/>
      <c r="O40" s="1282"/>
      <c r="P40" s="1283"/>
    </row>
    <row r="41" spans="1:19" ht="5.25" customHeight="1"/>
  </sheetData>
  <sheetProtection password="CCB4" sheet="1" objects="1" scenarios="1" selectLockedCells="1"/>
  <mergeCells count="60">
    <mergeCell ref="E40:F40"/>
    <mergeCell ref="G40:J40"/>
    <mergeCell ref="C36:F36"/>
    <mergeCell ref="K40:P40"/>
    <mergeCell ref="K11:M11"/>
    <mergeCell ref="N11:N13"/>
    <mergeCell ref="O11:O13"/>
    <mergeCell ref="P11:P13"/>
    <mergeCell ref="H12:H13"/>
    <mergeCell ref="I12:I13"/>
    <mergeCell ref="H11:J11"/>
    <mergeCell ref="A9:B9"/>
    <mergeCell ref="C9:G9"/>
    <mergeCell ref="A37:P39"/>
    <mergeCell ref="G36:P36"/>
    <mergeCell ref="J12:J13"/>
    <mergeCell ref="K12:K13"/>
    <mergeCell ref="L12:L13"/>
    <mergeCell ref="M12:M13"/>
    <mergeCell ref="A34:P34"/>
    <mergeCell ref="C35:D35"/>
    <mergeCell ref="E35:G35"/>
    <mergeCell ref="H35:P35"/>
    <mergeCell ref="H9:M9"/>
    <mergeCell ref="N9:P9"/>
    <mergeCell ref="A10:P10"/>
    <mergeCell ref="A11:A13"/>
    <mergeCell ref="B11:B13"/>
    <mergeCell ref="C11:C13"/>
    <mergeCell ref="D11:D13"/>
    <mergeCell ref="E11:G11"/>
    <mergeCell ref="E12:E13"/>
    <mergeCell ref="F12:F13"/>
    <mergeCell ref="G12:G13"/>
    <mergeCell ref="N7:P7"/>
    <mergeCell ref="A8:B8"/>
    <mergeCell ref="C8:D8"/>
    <mergeCell ref="E8:G8"/>
    <mergeCell ref="H8:J8"/>
    <mergeCell ref="K8:M8"/>
    <mergeCell ref="N8:P8"/>
    <mergeCell ref="A7:B7"/>
    <mergeCell ref="C7:D7"/>
    <mergeCell ref="E7:G7"/>
    <mergeCell ref="H7:J7"/>
    <mergeCell ref="K7:M7"/>
    <mergeCell ref="A4:D4"/>
    <mergeCell ref="E4:I4"/>
    <mergeCell ref="J4:P4"/>
    <mergeCell ref="A5:P5"/>
    <mergeCell ref="A6:P6"/>
    <mergeCell ref="A1:B1"/>
    <mergeCell ref="A3:B3"/>
    <mergeCell ref="C3:D3"/>
    <mergeCell ref="E3:I3"/>
    <mergeCell ref="J3:M3"/>
    <mergeCell ref="A2:D2"/>
    <mergeCell ref="E2:P2"/>
    <mergeCell ref="N3:P3"/>
    <mergeCell ref="C1:XFD1"/>
  </mergeCells>
  <hyperlinks>
    <hyperlink ref="A1:B1" location="'I-Tax Master'!A1" tooltip=" " display="Back To Main Menu"/>
  </hyperlinks>
  <pageMargins left="1" right="0" top="0.25" bottom="0.25" header="0" footer="0"/>
  <pageSetup paperSize="9" scale="80" orientation="landscape" verticalDpi="0" r:id="rId1"/>
  <ignoredErrors>
    <ignoredError sqref="A2:P40" unlockedFormula="1"/>
  </ignoredErrors>
</worksheet>
</file>

<file path=xl/worksheets/sheet27.xml><?xml version="1.0" encoding="utf-8"?>
<worksheet xmlns="http://schemas.openxmlformats.org/spreadsheetml/2006/main" xmlns:r="http://schemas.openxmlformats.org/officeDocument/2006/relationships">
  <dimension ref="A1:V41"/>
  <sheetViews>
    <sheetView workbookViewId="0">
      <selection sqref="A1:B1"/>
    </sheetView>
  </sheetViews>
  <sheetFormatPr defaultColWidth="0" defaultRowHeight="15" zeroHeight="1"/>
  <cols>
    <col min="1" max="1" width="4.42578125" style="50" customWidth="1"/>
    <col min="2" max="2" width="29.42578125" style="50" customWidth="1"/>
    <col min="3" max="3" width="14.140625" style="50" customWidth="1"/>
    <col min="4" max="4" width="14.5703125" style="50" customWidth="1"/>
    <col min="5" max="5" width="10" style="50" customWidth="1"/>
    <col min="6" max="6" width="7.140625" style="50" customWidth="1"/>
    <col min="7" max="8" width="9.140625" style="50" customWidth="1"/>
    <col min="9" max="9" width="7.42578125" style="50" customWidth="1"/>
    <col min="10" max="10" width="8.140625" style="50" customWidth="1"/>
    <col min="11" max="11" width="9.140625" style="50" customWidth="1"/>
    <col min="12" max="12" width="7.42578125" style="50" customWidth="1"/>
    <col min="13" max="13" width="9.140625" style="50" customWidth="1"/>
    <col min="14" max="14" width="9.85546875" style="50" customWidth="1"/>
    <col min="15" max="15" width="8.140625" style="50" customWidth="1"/>
    <col min="16" max="16" width="9.140625" style="50" customWidth="1"/>
    <col min="17" max="17" width="0.85546875" style="50" customWidth="1"/>
    <col min="18" max="22" width="0" style="50" hidden="1" customWidth="1"/>
    <col min="23" max="16384" width="9.140625" style="50" hidden="1"/>
  </cols>
  <sheetData>
    <row r="1" spans="1:22" s="1172" customFormat="1" ht="15.75" customHeight="1" thickBot="1">
      <c r="A1" s="1305" t="s">
        <v>403</v>
      </c>
      <c r="B1" s="1305"/>
    </row>
    <row r="2" spans="1:22" ht="20.100000000000001" customHeight="1">
      <c r="A2" s="1278" t="str">
        <f>'Emp.-Detail'!A2</f>
        <v xml:space="preserve">Office Name:- </v>
      </c>
      <c r="B2" s="1279"/>
      <c r="C2" s="1279"/>
      <c r="D2" s="1279"/>
      <c r="E2" s="1280" t="str">
        <f>'DDO '!B2</f>
        <v>GOVT.SEC.SCHOOL DEWANI</v>
      </c>
      <c r="F2" s="1280"/>
      <c r="G2" s="1280"/>
      <c r="H2" s="1280"/>
      <c r="I2" s="1280"/>
      <c r="J2" s="1280"/>
      <c r="K2" s="1280"/>
      <c r="L2" s="1280"/>
      <c r="M2" s="1280"/>
      <c r="N2" s="1280"/>
      <c r="O2" s="1280"/>
      <c r="P2" s="1281"/>
    </row>
    <row r="3" spans="1:22" s="95" customFormat="1" ht="18" customHeight="1">
      <c r="A3" s="1030" t="str">
        <f>'DDO '!A3</f>
        <v xml:space="preserve">Financial Year :- </v>
      </c>
      <c r="B3" s="1031"/>
      <c r="C3" s="1031" t="str">
        <f>'DDO '!B3</f>
        <v>2016-17</v>
      </c>
      <c r="D3" s="1031"/>
      <c r="E3" s="1306" t="s">
        <v>270</v>
      </c>
      <c r="F3" s="1306"/>
      <c r="G3" s="1306"/>
      <c r="H3" s="1306"/>
      <c r="I3" s="1306"/>
      <c r="J3" s="1031" t="str">
        <f>'DDO '!F3</f>
        <v>Assessment Year :-</v>
      </c>
      <c r="K3" s="1031"/>
      <c r="L3" s="1031"/>
      <c r="M3" s="1031"/>
      <c r="N3" s="1031" t="str">
        <f>'DDO '!G3</f>
        <v>2017-18</v>
      </c>
      <c r="O3" s="1031"/>
      <c r="P3" s="1307"/>
    </row>
    <row r="4" spans="1:22" s="95" customFormat="1" ht="18" customHeight="1">
      <c r="A4" s="891"/>
      <c r="B4" s="780"/>
      <c r="C4" s="780"/>
      <c r="D4" s="780"/>
      <c r="E4" s="1031" t="s">
        <v>269</v>
      </c>
      <c r="F4" s="1031"/>
      <c r="G4" s="1031"/>
      <c r="H4" s="1031"/>
      <c r="I4" s="1031"/>
      <c r="J4" s="780"/>
      <c r="K4" s="780"/>
      <c r="L4" s="780"/>
      <c r="M4" s="780"/>
      <c r="N4" s="780"/>
      <c r="O4" s="780"/>
      <c r="P4" s="781"/>
    </row>
    <row r="5" spans="1:22" s="95" customFormat="1" ht="18" customHeight="1">
      <c r="A5" s="891" t="s">
        <v>323</v>
      </c>
      <c r="B5" s="780"/>
      <c r="C5" s="780"/>
      <c r="D5" s="780"/>
      <c r="E5" s="780"/>
      <c r="F5" s="780"/>
      <c r="G5" s="780"/>
      <c r="H5" s="780"/>
      <c r="I5" s="780"/>
      <c r="J5" s="780"/>
      <c r="K5" s="780"/>
      <c r="L5" s="780"/>
      <c r="M5" s="780"/>
      <c r="N5" s="780"/>
      <c r="O5" s="780"/>
      <c r="P5" s="781"/>
    </row>
    <row r="6" spans="1:22" s="95" customFormat="1" ht="15" customHeight="1">
      <c r="A6" s="1308" t="s">
        <v>324</v>
      </c>
      <c r="B6" s="1306"/>
      <c r="C6" s="1306"/>
      <c r="D6" s="1306"/>
      <c r="E6" s="1306"/>
      <c r="F6" s="1306"/>
      <c r="G6" s="1306"/>
      <c r="H6" s="1306"/>
      <c r="I6" s="1306"/>
      <c r="J6" s="1306"/>
      <c r="K6" s="1306"/>
      <c r="L6" s="1306"/>
      <c r="M6" s="1306"/>
      <c r="N6" s="1306"/>
      <c r="O6" s="1306"/>
      <c r="P6" s="1309"/>
    </row>
    <row r="7" spans="1:22" s="95" customFormat="1" ht="18" customHeight="1">
      <c r="A7" s="1030" t="str">
        <f>'DDO '!A8</f>
        <v>Name of Deducter :-</v>
      </c>
      <c r="B7" s="1031"/>
      <c r="C7" s="1310" t="str">
        <f>'DDO '!H8</f>
        <v>LADURAM JAT</v>
      </c>
      <c r="D7" s="1310"/>
      <c r="E7" s="1031" t="str">
        <f>'DDO '!A10</f>
        <v>Designation of Deducter :-</v>
      </c>
      <c r="F7" s="1031"/>
      <c r="G7" s="1031"/>
      <c r="H7" s="1031" t="str">
        <f>'DDO '!H10</f>
        <v>PRINCIPAL</v>
      </c>
      <c r="I7" s="1031"/>
      <c r="J7" s="1031"/>
      <c r="K7" s="1031" t="str">
        <f>'DDO '!A11</f>
        <v>PAN No.  of  Deducter :-</v>
      </c>
      <c r="L7" s="1031"/>
      <c r="M7" s="1031"/>
      <c r="N7" s="1031" t="str">
        <f>'DDO '!H11</f>
        <v>ABXPJ6624R</v>
      </c>
      <c r="O7" s="1031"/>
      <c r="P7" s="1307"/>
    </row>
    <row r="8" spans="1:22" s="95" customFormat="1" ht="18" customHeight="1">
      <c r="A8" s="1030" t="str">
        <f>'DDO '!A9</f>
        <v>Father`s Name of Deducter :-</v>
      </c>
      <c r="B8" s="1031"/>
      <c r="C8" s="1031" t="str">
        <f>'DDO '!H9</f>
        <v>SH. DHANA RAM</v>
      </c>
      <c r="D8" s="1031"/>
      <c r="E8" s="1031" t="str">
        <f>'DDO '!A16</f>
        <v>Mobile no. of Deducter :-</v>
      </c>
      <c r="F8" s="1031"/>
      <c r="G8" s="1031"/>
      <c r="H8" s="1031" t="str">
        <f>'DDO '!H16</f>
        <v>09461110977</v>
      </c>
      <c r="I8" s="1031"/>
      <c r="J8" s="1031"/>
      <c r="K8" s="1031" t="str">
        <f>'DDO '!A13</f>
        <v>TAN  No. of  Office :-</v>
      </c>
      <c r="L8" s="1031"/>
      <c r="M8" s="1031"/>
      <c r="N8" s="1031" t="str">
        <f>'DDO '!H13</f>
        <v>JPRG04123A</v>
      </c>
      <c r="O8" s="1031"/>
      <c r="P8" s="1307"/>
      <c r="S8" s="96"/>
      <c r="V8" s="96"/>
    </row>
    <row r="9" spans="1:22" s="95" customFormat="1" ht="18" customHeight="1">
      <c r="A9" s="1226"/>
      <c r="B9" s="1227"/>
      <c r="C9" s="1031" t="str">
        <f>'DDO '!A14</f>
        <v>E-mail ID of Office :-</v>
      </c>
      <c r="D9" s="1031"/>
      <c r="E9" s="1031"/>
      <c r="F9" s="1031"/>
      <c r="G9" s="874"/>
      <c r="H9" s="1311" t="str">
        <f>'DDO '!H14</f>
        <v>pcbsugh@yahoo.in</v>
      </c>
      <c r="I9" s="1031"/>
      <c r="J9" s="1031"/>
      <c r="K9" s="1031"/>
      <c r="L9" s="1031"/>
      <c r="M9" s="1031"/>
      <c r="N9" s="1227"/>
      <c r="O9" s="1227"/>
      <c r="P9" s="1312"/>
    </row>
    <row r="10" spans="1:22" ht="15.75" thickBot="1">
      <c r="A10" s="1201"/>
      <c r="B10" s="1200"/>
      <c r="C10" s="1200"/>
      <c r="D10" s="1200"/>
      <c r="E10" s="1200"/>
      <c r="F10" s="1200"/>
      <c r="G10" s="1200"/>
      <c r="H10" s="1200"/>
      <c r="I10" s="1200"/>
      <c r="J10" s="1200"/>
      <c r="K10" s="1200"/>
      <c r="L10" s="1200"/>
      <c r="M10" s="1200"/>
      <c r="N10" s="1200"/>
      <c r="O10" s="1200"/>
      <c r="P10" s="1294"/>
      <c r="T10" s="70"/>
    </row>
    <row r="11" spans="1:22" ht="15" customHeight="1">
      <c r="A11" s="1289" t="s">
        <v>208</v>
      </c>
      <c r="B11" s="1297" t="s">
        <v>209</v>
      </c>
      <c r="C11" s="1297" t="s">
        <v>214</v>
      </c>
      <c r="D11" s="1269" t="s">
        <v>259</v>
      </c>
      <c r="E11" s="1268" t="s">
        <v>320</v>
      </c>
      <c r="F11" s="1268"/>
      <c r="G11" s="1268"/>
      <c r="H11" s="1268" t="s">
        <v>321</v>
      </c>
      <c r="I11" s="1268"/>
      <c r="J11" s="1268"/>
      <c r="K11" s="1268" t="s">
        <v>322</v>
      </c>
      <c r="L11" s="1268"/>
      <c r="M11" s="1268"/>
      <c r="N11" s="1259" t="s">
        <v>334</v>
      </c>
      <c r="O11" s="1262" t="s">
        <v>267</v>
      </c>
      <c r="P11" s="1265" t="s">
        <v>265</v>
      </c>
    </row>
    <row r="12" spans="1:22" ht="15" customHeight="1">
      <c r="A12" s="1290"/>
      <c r="B12" s="1298"/>
      <c r="C12" s="1298"/>
      <c r="D12" s="1270"/>
      <c r="E12" s="1257" t="s">
        <v>266</v>
      </c>
      <c r="F12" s="1302" t="s">
        <v>263</v>
      </c>
      <c r="G12" s="1257" t="s">
        <v>264</v>
      </c>
      <c r="H12" s="1257" t="s">
        <v>266</v>
      </c>
      <c r="I12" s="1302" t="s">
        <v>263</v>
      </c>
      <c r="J12" s="1257" t="s">
        <v>264</v>
      </c>
      <c r="K12" s="1257" t="s">
        <v>266</v>
      </c>
      <c r="L12" s="1302" t="s">
        <v>263</v>
      </c>
      <c r="M12" s="1257" t="s">
        <v>264</v>
      </c>
      <c r="N12" s="1260"/>
      <c r="O12" s="1263"/>
      <c r="P12" s="1266"/>
    </row>
    <row r="13" spans="1:22" ht="15.75" thickBot="1">
      <c r="A13" s="1291"/>
      <c r="B13" s="1299"/>
      <c r="C13" s="1299"/>
      <c r="D13" s="1271"/>
      <c r="E13" s="1258"/>
      <c r="F13" s="1303"/>
      <c r="G13" s="1258"/>
      <c r="H13" s="1258"/>
      <c r="I13" s="1303"/>
      <c r="J13" s="1258"/>
      <c r="K13" s="1258"/>
      <c r="L13" s="1303"/>
      <c r="M13" s="1258"/>
      <c r="N13" s="1261"/>
      <c r="O13" s="1264"/>
      <c r="P13" s="1267"/>
    </row>
    <row r="14" spans="1:22" ht="20.45" customHeight="1">
      <c r="A14" s="71">
        <f>'Emp.-Detail'!A9</f>
        <v>1</v>
      </c>
      <c r="B14" s="72" t="str">
        <f>'Emp.-Detail'!B9</f>
        <v>MADAN LAL PILANIYA</v>
      </c>
      <c r="C14" s="72" t="str">
        <f>'Emp.-Detail'!C9</f>
        <v>HEADMASTER</v>
      </c>
      <c r="D14" s="73" t="str">
        <f>'Emp.-Detail'!D9</f>
        <v>AQPPP7545Q</v>
      </c>
      <c r="E14" s="74">
        <f>'Emp-1'!Q15</f>
        <v>50831</v>
      </c>
      <c r="F14" s="75">
        <f>'Emp-1'!P15</f>
        <v>0</v>
      </c>
      <c r="G14" s="74">
        <f>'Emp-1'!O31</f>
        <v>2000</v>
      </c>
      <c r="H14" s="74">
        <f>'Emp-1'!Q16</f>
        <v>52128</v>
      </c>
      <c r="I14" s="75">
        <f>'Emp-1'!P16</f>
        <v>0</v>
      </c>
      <c r="J14" s="74">
        <f>'Emp-1'!O32</f>
        <v>2000</v>
      </c>
      <c r="K14" s="74">
        <f>'Emp-1'!Q17</f>
        <v>52128</v>
      </c>
      <c r="L14" s="75">
        <f>'Emp-1'!P17</f>
        <v>0</v>
      </c>
      <c r="M14" s="74">
        <f>'Emp-1'!O33</f>
        <v>2000</v>
      </c>
      <c r="N14" s="76">
        <f>E14+H14+K14</f>
        <v>155087</v>
      </c>
      <c r="O14" s="89">
        <f>F14+I14+L14</f>
        <v>0</v>
      </c>
      <c r="P14" s="78">
        <f>G14+J14+M14</f>
        <v>6000</v>
      </c>
      <c r="Q14" s="70"/>
    </row>
    <row r="15" spans="1:22" ht="20.45" customHeight="1">
      <c r="A15" s="79">
        <f>'Emp.-Detail'!A10</f>
        <v>2</v>
      </c>
      <c r="B15" s="80" t="str">
        <f>'Emp.-Detail'!B10</f>
        <v>JAGADISH PRASAD CHOUHAN</v>
      </c>
      <c r="C15" s="80" t="str">
        <f>'Emp.-Detail'!C10</f>
        <v>Lecturer</v>
      </c>
      <c r="D15" s="81" t="str">
        <f>'Emp.-Detail'!D10</f>
        <v>ABPPC0835K</v>
      </c>
      <c r="E15" s="74">
        <f>'Emp-2'!Q15</f>
        <v>61147</v>
      </c>
      <c r="F15" s="75">
        <f>'Emp-2'!P15</f>
        <v>0</v>
      </c>
      <c r="G15" s="74">
        <f>'Emp-2'!O31</f>
        <v>3500</v>
      </c>
      <c r="H15" s="74">
        <f>'Emp-2'!Q16</f>
        <v>62708</v>
      </c>
      <c r="I15" s="75">
        <f>'Emp-2'!P16</f>
        <v>0</v>
      </c>
      <c r="J15" s="74">
        <f>'Emp-2'!O32</f>
        <v>3500</v>
      </c>
      <c r="K15" s="74">
        <f>'Emp-2'!Q17</f>
        <v>62708</v>
      </c>
      <c r="L15" s="75">
        <f>'Emp-2'!P17</f>
        <v>0</v>
      </c>
      <c r="M15" s="74">
        <f>'Emp-2'!O33</f>
        <v>3500</v>
      </c>
      <c r="N15" s="82">
        <f t="shared" ref="N15:P31" si="0">E15+H15+K15</f>
        <v>186563</v>
      </c>
      <c r="O15" s="90">
        <f t="shared" si="0"/>
        <v>0</v>
      </c>
      <c r="P15" s="84">
        <f t="shared" si="0"/>
        <v>10500</v>
      </c>
    </row>
    <row r="16" spans="1:22" ht="20.45" customHeight="1">
      <c r="A16" s="79">
        <f>'Emp.-Detail'!A11</f>
        <v>3</v>
      </c>
      <c r="B16" s="80" t="str">
        <f>'Emp.-Detail'!B11</f>
        <v>RAM PRASHAD SHARMA</v>
      </c>
      <c r="C16" s="80" t="str">
        <f>'Emp.-Detail'!C11</f>
        <v>Lecturer</v>
      </c>
      <c r="D16" s="81" t="str">
        <f>'Emp.-Detail'!D11</f>
        <v>AGDPS0116J</v>
      </c>
      <c r="E16" s="74">
        <f>'Emp-3'!Q15</f>
        <v>59949</v>
      </c>
      <c r="F16" s="75">
        <f>'Emp-3'!P15</f>
        <v>0</v>
      </c>
      <c r="G16" s="74">
        <f>'Emp-3'!O31</f>
        <v>2000</v>
      </c>
      <c r="H16" s="74">
        <f>'Emp-3'!Q16</f>
        <v>61479</v>
      </c>
      <c r="I16" s="75">
        <f>'Emp-3'!P16</f>
        <v>0</v>
      </c>
      <c r="J16" s="74">
        <f>'Emp-3'!O32</f>
        <v>2000</v>
      </c>
      <c r="K16" s="74">
        <f>'Emp-3'!Q17</f>
        <v>61479</v>
      </c>
      <c r="L16" s="75">
        <f>'Emp-3'!P17</f>
        <v>0</v>
      </c>
      <c r="M16" s="74">
        <f>'Emp-3'!O33</f>
        <v>2000</v>
      </c>
      <c r="N16" s="82">
        <f t="shared" si="0"/>
        <v>182907</v>
      </c>
      <c r="O16" s="90">
        <f t="shared" si="0"/>
        <v>0</v>
      </c>
      <c r="P16" s="84">
        <f t="shared" si="0"/>
        <v>6000</v>
      </c>
    </row>
    <row r="17" spans="1:16" ht="20.45" customHeight="1">
      <c r="A17" s="79">
        <f>'Emp.-Detail'!A12</f>
        <v>4</v>
      </c>
      <c r="B17" s="80" t="str">
        <f>'Emp.-Detail'!B12</f>
        <v>BHAGIRATH GURDA</v>
      </c>
      <c r="C17" s="80" t="str">
        <f>'Emp.-Detail'!C12</f>
        <v>Lecturer</v>
      </c>
      <c r="D17" s="81" t="str">
        <f>'Emp.-Detail'!D12</f>
        <v>ADZPG8777C</v>
      </c>
      <c r="E17" s="74">
        <f>'Emp-4'!Q15</f>
        <v>57528</v>
      </c>
      <c r="F17" s="75">
        <f>'Emp-4'!P15</f>
        <v>0</v>
      </c>
      <c r="G17" s="74">
        <f>'Emp-4'!O31</f>
        <v>3000</v>
      </c>
      <c r="H17" s="74">
        <f>'Emp-4'!Q16</f>
        <v>58997</v>
      </c>
      <c r="I17" s="75">
        <f>'Emp-4'!P16</f>
        <v>0</v>
      </c>
      <c r="J17" s="74">
        <f>'Emp-4'!O32</f>
        <v>3000</v>
      </c>
      <c r="K17" s="74">
        <f>'Emp-4'!Q17</f>
        <v>58997</v>
      </c>
      <c r="L17" s="75">
        <f>'Emp-4'!P17</f>
        <v>0</v>
      </c>
      <c r="M17" s="74">
        <f>'Emp-4'!O33</f>
        <v>3000</v>
      </c>
      <c r="N17" s="82">
        <f t="shared" si="0"/>
        <v>175522</v>
      </c>
      <c r="O17" s="90">
        <f t="shared" si="0"/>
        <v>0</v>
      </c>
      <c r="P17" s="84">
        <f t="shared" si="0"/>
        <v>9000</v>
      </c>
    </row>
    <row r="18" spans="1:16" ht="20.45" customHeight="1">
      <c r="A18" s="79">
        <f>'Emp.-Detail'!A13</f>
        <v>5</v>
      </c>
      <c r="B18" s="80" t="str">
        <f>'Emp.-Detail'!B13</f>
        <v xml:space="preserve">DEVKRAN SINGH </v>
      </c>
      <c r="C18" s="80" t="str">
        <f>'Emp.-Detail'!C13</f>
        <v>Lecturer</v>
      </c>
      <c r="D18" s="81" t="str">
        <f>'Emp.-Detail'!D13</f>
        <v>AMCPS4395J</v>
      </c>
      <c r="E18" s="74">
        <f>'Emp-5'!Q15</f>
        <v>57528</v>
      </c>
      <c r="F18" s="75">
        <f>'Emp-5'!P15</f>
        <v>0</v>
      </c>
      <c r="G18" s="74">
        <f>'Emp-5'!O31</f>
        <v>3000</v>
      </c>
      <c r="H18" s="74">
        <f>'Emp-5'!Q16</f>
        <v>58997</v>
      </c>
      <c r="I18" s="75">
        <f>'Emp-5'!P16</f>
        <v>0</v>
      </c>
      <c r="J18" s="74">
        <f>'Emp-5'!O32</f>
        <v>3000</v>
      </c>
      <c r="K18" s="74">
        <f>'Emp-5'!Q17</f>
        <v>58997</v>
      </c>
      <c r="L18" s="75">
        <f>'Emp-5'!P17</f>
        <v>0</v>
      </c>
      <c r="M18" s="74">
        <f>'Emp-5'!O33</f>
        <v>3000</v>
      </c>
      <c r="N18" s="82">
        <f t="shared" si="0"/>
        <v>175522</v>
      </c>
      <c r="O18" s="90">
        <f t="shared" si="0"/>
        <v>0</v>
      </c>
      <c r="P18" s="84">
        <f t="shared" si="0"/>
        <v>9000</v>
      </c>
    </row>
    <row r="19" spans="1:16" ht="20.45" customHeight="1">
      <c r="A19" s="79">
        <f>'Emp.-Detail'!A14</f>
        <v>6</v>
      </c>
      <c r="B19" s="80" t="str">
        <f>'Emp.-Detail'!B14</f>
        <v xml:space="preserve">CHANDAR KALA </v>
      </c>
      <c r="C19" s="80" t="str">
        <f>'Emp.-Detail'!C14</f>
        <v>Lecturer</v>
      </c>
      <c r="D19" s="81" t="str">
        <f>'Emp.-Detail'!D14</f>
        <v>ACNPV0041M</v>
      </c>
      <c r="E19" s="74">
        <f>'Emp-6'!Q15</f>
        <v>56377</v>
      </c>
      <c r="F19" s="75">
        <f>'Emp-6'!P15</f>
        <v>0</v>
      </c>
      <c r="G19" s="74">
        <f>'Emp-6'!O31</f>
        <v>2000</v>
      </c>
      <c r="H19" s="74">
        <f>'Emp-6'!Q16</f>
        <v>57816</v>
      </c>
      <c r="I19" s="75">
        <f>'Emp-6'!P16</f>
        <v>0</v>
      </c>
      <c r="J19" s="74">
        <f>'Emp-6'!O32</f>
        <v>2000</v>
      </c>
      <c r="K19" s="74">
        <f>'Emp-6'!Q17</f>
        <v>57816</v>
      </c>
      <c r="L19" s="75">
        <f>'Emp-6'!P17</f>
        <v>0</v>
      </c>
      <c r="M19" s="74">
        <f>'Emp-6'!O33</f>
        <v>2000</v>
      </c>
      <c r="N19" s="82">
        <f t="shared" si="0"/>
        <v>172009</v>
      </c>
      <c r="O19" s="90">
        <f t="shared" si="0"/>
        <v>0</v>
      </c>
      <c r="P19" s="84">
        <f t="shared" si="0"/>
        <v>6000</v>
      </c>
    </row>
    <row r="20" spans="1:16" ht="20.45" customHeight="1">
      <c r="A20" s="79">
        <f>'Emp.-Detail'!A15</f>
        <v>7</v>
      </c>
      <c r="B20" s="80" t="str">
        <f>'Emp.-Detail'!B15</f>
        <v>BHOMA RAM MEENA</v>
      </c>
      <c r="C20" s="80" t="str">
        <f>'Emp.-Detail'!C15</f>
        <v>Lecturer</v>
      </c>
      <c r="D20" s="81" t="str">
        <f>'Emp.-Detail'!D15</f>
        <v>ACLPM3827E</v>
      </c>
      <c r="E20" s="74">
        <f>'Emp-7'!Q15</f>
        <v>50972</v>
      </c>
      <c r="F20" s="75">
        <f>'Emp-7'!P15</f>
        <v>0</v>
      </c>
      <c r="G20" s="74">
        <f>'Emp-7'!O31</f>
        <v>2000</v>
      </c>
      <c r="H20" s="74">
        <f>'Emp-7'!Q16</f>
        <v>52273</v>
      </c>
      <c r="I20" s="75">
        <f>'Emp-7'!P16</f>
        <v>0</v>
      </c>
      <c r="J20" s="74">
        <f>'Emp-7'!O32</f>
        <v>2000</v>
      </c>
      <c r="K20" s="74">
        <f>'Emp-7'!Q17</f>
        <v>52273</v>
      </c>
      <c r="L20" s="75">
        <f>'Emp-7'!P17</f>
        <v>0</v>
      </c>
      <c r="M20" s="74">
        <f>'Emp-7'!O33</f>
        <v>2000</v>
      </c>
      <c r="N20" s="82">
        <f t="shared" si="0"/>
        <v>155518</v>
      </c>
      <c r="O20" s="90">
        <f t="shared" si="0"/>
        <v>0</v>
      </c>
      <c r="P20" s="84">
        <f t="shared" si="0"/>
        <v>6000</v>
      </c>
    </row>
    <row r="21" spans="1:16" ht="20.45" customHeight="1">
      <c r="A21" s="79">
        <f>'Emp.-Detail'!A16</f>
        <v>8</v>
      </c>
      <c r="B21" s="80" t="str">
        <f>'Emp.-Detail'!B16</f>
        <v>VIJAY CHOUDHARY</v>
      </c>
      <c r="C21" s="80" t="str">
        <f>'Emp.-Detail'!C16</f>
        <v>Lecturer</v>
      </c>
      <c r="D21" s="81" t="str">
        <f>'Emp.-Detail'!D16</f>
        <v>AHMPC9320N</v>
      </c>
      <c r="E21" s="74">
        <f>'Emp-8'!Q15</f>
        <v>50126</v>
      </c>
      <c r="F21" s="75">
        <f>'Emp-8'!P15</f>
        <v>0</v>
      </c>
      <c r="G21" s="74">
        <f>'Emp-8'!O31</f>
        <v>2000</v>
      </c>
      <c r="H21" s="74">
        <f>'Emp-8'!Q16</f>
        <v>51405</v>
      </c>
      <c r="I21" s="75">
        <f>'Emp-8'!P16</f>
        <v>0</v>
      </c>
      <c r="J21" s="74">
        <f>'Emp-8'!O32</f>
        <v>2000</v>
      </c>
      <c r="K21" s="74">
        <f>'Emp-8'!Q17</f>
        <v>51405</v>
      </c>
      <c r="L21" s="75">
        <f>'Emp-8'!P17</f>
        <v>0</v>
      </c>
      <c r="M21" s="74">
        <f>'Emp-8'!O33</f>
        <v>2000</v>
      </c>
      <c r="N21" s="82">
        <f t="shared" si="0"/>
        <v>152936</v>
      </c>
      <c r="O21" s="90">
        <f t="shared" si="0"/>
        <v>0</v>
      </c>
      <c r="P21" s="84">
        <f t="shared" si="0"/>
        <v>6000</v>
      </c>
    </row>
    <row r="22" spans="1:16" ht="20.45" customHeight="1">
      <c r="A22" s="79">
        <f>'Emp.-Detail'!A17</f>
        <v>9</v>
      </c>
      <c r="B22" s="80" t="str">
        <f>'Emp.-Detail'!B17</f>
        <v xml:space="preserve">KAMALESH KUMAR </v>
      </c>
      <c r="C22" s="80" t="str">
        <f>'Emp.-Detail'!C17</f>
        <v>Lecturer</v>
      </c>
      <c r="D22" s="81" t="str">
        <f>'Emp.-Detail'!D17</f>
        <v>DLLPK8818M</v>
      </c>
      <c r="E22" s="74">
        <f>'Emp-9'!Q15</f>
        <v>48175</v>
      </c>
      <c r="F22" s="75">
        <f>'Emp-9'!P15</f>
        <v>0</v>
      </c>
      <c r="G22" s="74">
        <f>'Emp-9'!O31</f>
        <v>2000</v>
      </c>
      <c r="H22" s="74">
        <f>'Emp-9'!Q16</f>
        <v>49405</v>
      </c>
      <c r="I22" s="75">
        <f>'Emp-9'!P16</f>
        <v>0</v>
      </c>
      <c r="J22" s="74">
        <f>'Emp-9'!O32</f>
        <v>2000</v>
      </c>
      <c r="K22" s="74">
        <f>'Emp-9'!Q17</f>
        <v>49405</v>
      </c>
      <c r="L22" s="75">
        <f>'Emp-9'!P17</f>
        <v>0</v>
      </c>
      <c r="M22" s="74">
        <f>'Emp-9'!O33</f>
        <v>2000</v>
      </c>
      <c r="N22" s="82">
        <f t="shared" si="0"/>
        <v>146985</v>
      </c>
      <c r="O22" s="90">
        <f t="shared" si="0"/>
        <v>0</v>
      </c>
      <c r="P22" s="84">
        <f t="shared" si="0"/>
        <v>6000</v>
      </c>
    </row>
    <row r="23" spans="1:16" ht="20.45" customHeight="1">
      <c r="A23" s="79">
        <f>'Emp.-Detail'!A18</f>
        <v>10</v>
      </c>
      <c r="B23" s="80" t="str">
        <f>'Emp.-Detail'!B18</f>
        <v xml:space="preserve">SITARAM DADHICH </v>
      </c>
      <c r="C23" s="80" t="str">
        <f>'Emp.-Detail'!C18</f>
        <v>Lecturer</v>
      </c>
      <c r="D23" s="81" t="str">
        <f>'Emp.-Detail'!D18</f>
        <v>AFZPD5085N</v>
      </c>
      <c r="E23" s="74">
        <f>'Emp-10'!Q15</f>
        <v>46765</v>
      </c>
      <c r="F23" s="75">
        <f>'Emp-10'!P15</f>
        <v>0</v>
      </c>
      <c r="G23" s="74">
        <f>'Emp-10'!O31</f>
        <v>1500</v>
      </c>
      <c r="H23" s="74">
        <f>'Emp-10'!Q16</f>
        <v>47959</v>
      </c>
      <c r="I23" s="75">
        <f>'Emp-10'!P16</f>
        <v>0</v>
      </c>
      <c r="J23" s="74">
        <f>'Emp-10'!O32</f>
        <v>1500</v>
      </c>
      <c r="K23" s="74">
        <f>'Emp-10'!Q17</f>
        <v>47959</v>
      </c>
      <c r="L23" s="75">
        <f>'Emp-10'!P17</f>
        <v>0</v>
      </c>
      <c r="M23" s="74">
        <f>'Emp-10'!O33</f>
        <v>1500</v>
      </c>
      <c r="N23" s="82">
        <f t="shared" si="0"/>
        <v>142683</v>
      </c>
      <c r="O23" s="90">
        <f t="shared" si="0"/>
        <v>0</v>
      </c>
      <c r="P23" s="84">
        <f t="shared" si="0"/>
        <v>4500</v>
      </c>
    </row>
    <row r="24" spans="1:16" ht="20.45" customHeight="1">
      <c r="A24" s="79">
        <f>'Emp.-Detail'!A19</f>
        <v>11</v>
      </c>
      <c r="B24" s="80" t="str">
        <f>'Emp.-Detail'!B19</f>
        <v xml:space="preserve">VIJAY SINGH </v>
      </c>
      <c r="C24" s="80" t="str">
        <f>'Emp.-Detail'!C19</f>
        <v>Sr. Teacher</v>
      </c>
      <c r="D24" s="81" t="str">
        <f>'Emp.-Detail'!D19</f>
        <v>AIDPS3122L</v>
      </c>
      <c r="E24" s="74">
        <f>'Emp-11'!Q15</f>
        <v>61758</v>
      </c>
      <c r="F24" s="75">
        <f>'Emp-11'!P15</f>
        <v>0</v>
      </c>
      <c r="G24" s="74">
        <f>'Emp-11'!O31</f>
        <v>1000</v>
      </c>
      <c r="H24" s="74">
        <f>'Emp-11'!Q16</f>
        <v>63335</v>
      </c>
      <c r="I24" s="75">
        <f>'Emp-11'!P16</f>
        <v>0</v>
      </c>
      <c r="J24" s="74">
        <f>'Emp-11'!O32</f>
        <v>1000</v>
      </c>
      <c r="K24" s="74">
        <f>'Emp-11'!Q17</f>
        <v>63335</v>
      </c>
      <c r="L24" s="75">
        <f>'Emp-11'!P17</f>
        <v>0</v>
      </c>
      <c r="M24" s="74">
        <f>'Emp-11'!O33</f>
        <v>1000</v>
      </c>
      <c r="N24" s="82">
        <f t="shared" si="0"/>
        <v>188428</v>
      </c>
      <c r="O24" s="90">
        <f t="shared" si="0"/>
        <v>0</v>
      </c>
      <c r="P24" s="84">
        <f t="shared" si="0"/>
        <v>3000</v>
      </c>
    </row>
    <row r="25" spans="1:16" ht="20.45" customHeight="1">
      <c r="A25" s="79">
        <f>'Emp.-Detail'!A20</f>
        <v>12</v>
      </c>
      <c r="B25" s="80" t="str">
        <f>'Emp.-Detail'!B20</f>
        <v>RANVEER SINGH</v>
      </c>
      <c r="C25" s="80" t="str">
        <f>'Emp.-Detail'!C20</f>
        <v>Sr. Teacher</v>
      </c>
      <c r="D25" s="81" t="str">
        <f>'Emp.-Detail'!D20</f>
        <v>ABKPM3872F</v>
      </c>
      <c r="E25" s="74">
        <f>'Emp-12'!Q15</f>
        <v>61641</v>
      </c>
      <c r="F25" s="75">
        <f>'Emp-12'!P15</f>
        <v>0</v>
      </c>
      <c r="G25" s="74">
        <f>'Emp-12'!O31</f>
        <v>2000</v>
      </c>
      <c r="H25" s="74">
        <f>'Emp-12'!Q16</f>
        <v>63214</v>
      </c>
      <c r="I25" s="75">
        <f>'Emp-12'!P16</f>
        <v>0</v>
      </c>
      <c r="J25" s="74">
        <f>'Emp-12'!O32</f>
        <v>2000</v>
      </c>
      <c r="K25" s="74">
        <f>'Emp-12'!Q17</f>
        <v>63214</v>
      </c>
      <c r="L25" s="75">
        <f>'Emp-12'!P17</f>
        <v>0</v>
      </c>
      <c r="M25" s="74">
        <f>'Emp-12'!O33</f>
        <v>2000</v>
      </c>
      <c r="N25" s="82">
        <f t="shared" si="0"/>
        <v>188069</v>
      </c>
      <c r="O25" s="90">
        <f t="shared" si="0"/>
        <v>0</v>
      </c>
      <c r="P25" s="84">
        <f t="shared" si="0"/>
        <v>6000</v>
      </c>
    </row>
    <row r="26" spans="1:16" ht="20.45" customHeight="1">
      <c r="A26" s="79">
        <f>'Emp.-Detail'!A21</f>
        <v>13</v>
      </c>
      <c r="B26" s="80" t="str">
        <f>'Emp.-Detail'!B21</f>
        <v>VIJAY SANKAR SHARAMA</v>
      </c>
      <c r="C26" s="80" t="str">
        <f>'Emp.-Detail'!C21</f>
        <v>Sr. Teacher</v>
      </c>
      <c r="D26" s="81" t="str">
        <f>'Emp.-Detail'!D21</f>
        <v>ADUPS1283L</v>
      </c>
      <c r="E26" s="74">
        <f>'Emp-13'!Q15</f>
        <v>61147</v>
      </c>
      <c r="F26" s="75">
        <f>'Emp-13'!P15</f>
        <v>0</v>
      </c>
      <c r="G26" s="74">
        <f>'Emp-13'!O31</f>
        <v>3500</v>
      </c>
      <c r="H26" s="74">
        <f>'Emp-13'!Q16</f>
        <v>62708</v>
      </c>
      <c r="I26" s="75">
        <f>'Emp-13'!P16</f>
        <v>0</v>
      </c>
      <c r="J26" s="74">
        <f>'Emp-13'!O32</f>
        <v>3500</v>
      </c>
      <c r="K26" s="74">
        <f>'Emp-13'!Q17</f>
        <v>62708</v>
      </c>
      <c r="L26" s="75">
        <f>'Emp-13'!P17</f>
        <v>0</v>
      </c>
      <c r="M26" s="74">
        <f>'Emp-13'!O33</f>
        <v>3500</v>
      </c>
      <c r="N26" s="82">
        <f t="shared" si="0"/>
        <v>186563</v>
      </c>
      <c r="O26" s="90">
        <f t="shared" si="0"/>
        <v>0</v>
      </c>
      <c r="P26" s="84">
        <f t="shared" si="0"/>
        <v>10500</v>
      </c>
    </row>
    <row r="27" spans="1:16" ht="20.45" customHeight="1">
      <c r="A27" s="79">
        <f>'Emp.-Detail'!A22</f>
        <v>14</v>
      </c>
      <c r="B27" s="80" t="str">
        <f>'Emp.-Detail'!B22</f>
        <v xml:space="preserve">GOVIND RAM BHATI </v>
      </c>
      <c r="C27" s="80" t="str">
        <f>'Emp.-Detail'!C22</f>
        <v>Sr. Teacher</v>
      </c>
      <c r="D27" s="81" t="str">
        <f>'Emp.-Detail'!D22</f>
        <v>ASHPR1636E</v>
      </c>
      <c r="E27" s="74">
        <f>'Emp-14'!Q15</f>
        <v>51818</v>
      </c>
      <c r="F27" s="75">
        <f>'Emp-14'!P15</f>
        <v>0</v>
      </c>
      <c r="G27" s="74">
        <f>'Emp-14'!O31</f>
        <v>2000</v>
      </c>
      <c r="H27" s="74">
        <f>'Emp-14'!Q16</f>
        <v>53141</v>
      </c>
      <c r="I27" s="75">
        <f>'Emp-14'!P16</f>
        <v>0</v>
      </c>
      <c r="J27" s="74">
        <f>'Emp-14'!O32</f>
        <v>2000</v>
      </c>
      <c r="K27" s="74">
        <f>'Emp-14'!Q17</f>
        <v>53141</v>
      </c>
      <c r="L27" s="75">
        <f>'Emp-14'!P17</f>
        <v>0</v>
      </c>
      <c r="M27" s="74">
        <f>'Emp-14'!O33</f>
        <v>2000</v>
      </c>
      <c r="N27" s="82">
        <f t="shared" si="0"/>
        <v>158100</v>
      </c>
      <c r="O27" s="90">
        <f t="shared" si="0"/>
        <v>0</v>
      </c>
      <c r="P27" s="84">
        <f t="shared" si="0"/>
        <v>6000</v>
      </c>
    </row>
    <row r="28" spans="1:16" ht="20.45" customHeight="1">
      <c r="A28" s="79">
        <f>'Emp.-Detail'!A23</f>
        <v>15</v>
      </c>
      <c r="B28" s="80" t="str">
        <f>'Emp.-Detail'!B23</f>
        <v>RAJ KUMAR TANWAR</v>
      </c>
      <c r="C28" s="80" t="str">
        <f>'Emp.-Detail'!C23</f>
        <v>Lab. Asist.</v>
      </c>
      <c r="D28" s="81" t="str">
        <f>'Emp.-Detail'!D23</f>
        <v>ACPPT9605F</v>
      </c>
      <c r="E28" s="74">
        <f>'Emp-15'!Q15</f>
        <v>57246</v>
      </c>
      <c r="F28" s="75">
        <f>'Emp-15'!P15</f>
        <v>0</v>
      </c>
      <c r="G28" s="74">
        <f>'Emp-15'!O31</f>
        <v>2000</v>
      </c>
      <c r="H28" s="74">
        <f>'Emp-15'!Q16</f>
        <v>58708</v>
      </c>
      <c r="I28" s="75">
        <f>'Emp-15'!P16</f>
        <v>0</v>
      </c>
      <c r="J28" s="74">
        <f>'Emp-15'!O32</f>
        <v>2000</v>
      </c>
      <c r="K28" s="74">
        <f>'Emp-15'!Q17</f>
        <v>58708</v>
      </c>
      <c r="L28" s="75">
        <f>'Emp-15'!P17</f>
        <v>0</v>
      </c>
      <c r="M28" s="74">
        <f>'Emp-15'!O33</f>
        <v>2000</v>
      </c>
      <c r="N28" s="82">
        <f t="shared" si="0"/>
        <v>174662</v>
      </c>
      <c r="O28" s="90">
        <f t="shared" si="0"/>
        <v>0</v>
      </c>
      <c r="P28" s="84">
        <f t="shared" si="0"/>
        <v>6000</v>
      </c>
    </row>
    <row r="29" spans="1:16" ht="20.45" customHeight="1">
      <c r="A29" s="79">
        <f>'Emp.-Detail'!A24</f>
        <v>16</v>
      </c>
      <c r="B29" s="80" t="str">
        <f>'Emp.-Detail'!B24</f>
        <v>VIJAY KUMAR DENWAL</v>
      </c>
      <c r="C29" s="80" t="str">
        <f>'Emp.-Detail'!C24</f>
        <v>UDC</v>
      </c>
      <c r="D29" s="81" t="str">
        <f>'Emp.-Detail'!D24</f>
        <v>AKPPD4869B</v>
      </c>
      <c r="E29" s="74">
        <f>'Emp-16'!Q15</f>
        <v>39504</v>
      </c>
      <c r="F29" s="75">
        <f>'Emp-16'!P15</f>
        <v>0</v>
      </c>
      <c r="G29" s="74">
        <f>'Emp-16'!O31</f>
        <v>1500</v>
      </c>
      <c r="H29" s="74">
        <f>'Emp-16'!Q16</f>
        <v>40512</v>
      </c>
      <c r="I29" s="75">
        <f>'Emp-16'!P16</f>
        <v>0</v>
      </c>
      <c r="J29" s="74">
        <f>'Emp-16'!O32</f>
        <v>1500</v>
      </c>
      <c r="K29" s="74">
        <f>'Emp-16'!Q17</f>
        <v>40512</v>
      </c>
      <c r="L29" s="75">
        <f>'Emp-16'!P17</f>
        <v>0</v>
      </c>
      <c r="M29" s="74">
        <f>'Emp-16'!O33</f>
        <v>1500</v>
      </c>
      <c r="N29" s="82">
        <f t="shared" si="0"/>
        <v>120528</v>
      </c>
      <c r="O29" s="90">
        <f t="shared" si="0"/>
        <v>0</v>
      </c>
      <c r="P29" s="84">
        <f t="shared" si="0"/>
        <v>4500</v>
      </c>
    </row>
    <row r="30" spans="1:16" ht="20.45" customHeight="1">
      <c r="A30" s="79">
        <f>'Emp.-Detail'!A25</f>
        <v>17</v>
      </c>
      <c r="B30" s="80" t="str">
        <f>'Emp.-Detail'!B25</f>
        <v>DEEP CHAND PRAJAPAT</v>
      </c>
      <c r="C30" s="80" t="str">
        <f>'Emp.-Detail'!C25</f>
        <v>UDC</v>
      </c>
      <c r="D30" s="81" t="str">
        <f>'Emp.-Detail'!D25</f>
        <v>BDRPP3136R</v>
      </c>
      <c r="E30" s="74">
        <f>'Emp-17'!Q15</f>
        <v>36825</v>
      </c>
      <c r="F30" s="75">
        <f>'Emp-17'!P15</f>
        <v>0</v>
      </c>
      <c r="G30" s="74">
        <f>'Emp-17'!O31</f>
        <v>0</v>
      </c>
      <c r="H30" s="74">
        <f>'Emp-17'!Q16</f>
        <v>37765</v>
      </c>
      <c r="I30" s="75">
        <f>'Emp-17'!P16</f>
        <v>0</v>
      </c>
      <c r="J30" s="74">
        <f>'Emp-17'!O32</f>
        <v>0</v>
      </c>
      <c r="K30" s="74">
        <f>'Emp-17'!Q17</f>
        <v>37765</v>
      </c>
      <c r="L30" s="75">
        <f>'Emp-17'!P17</f>
        <v>0</v>
      </c>
      <c r="M30" s="74">
        <f>'Emp-17'!O33</f>
        <v>0</v>
      </c>
      <c r="N30" s="82">
        <f t="shared" si="0"/>
        <v>112355</v>
      </c>
      <c r="O30" s="90">
        <f t="shared" si="0"/>
        <v>0</v>
      </c>
      <c r="P30" s="84">
        <f t="shared" si="0"/>
        <v>0</v>
      </c>
    </row>
    <row r="31" spans="1:16" ht="20.45" customHeight="1">
      <c r="A31" s="79">
        <f>'Emp.-Detail'!A26</f>
        <v>18</v>
      </c>
      <c r="B31" s="80" t="str">
        <f>'Emp.-Detail'!B26</f>
        <v xml:space="preserve">MANGI LAL </v>
      </c>
      <c r="C31" s="80" t="str">
        <f>'Emp.-Detail'!C26</f>
        <v>LDC</v>
      </c>
      <c r="D31" s="81" t="str">
        <f>'Emp.-Detail'!D26</f>
        <v>AMPPD4396D</v>
      </c>
      <c r="E31" s="74">
        <f>'Emp-18'!Q15</f>
        <v>31326</v>
      </c>
      <c r="F31" s="75">
        <f>'Emp-18'!P15</f>
        <v>0</v>
      </c>
      <c r="G31" s="74">
        <f>'Emp-18'!O31</f>
        <v>0</v>
      </c>
      <c r="H31" s="74">
        <f>'Emp-18'!Q16</f>
        <v>32125</v>
      </c>
      <c r="I31" s="75">
        <f>'Emp-18'!P16</f>
        <v>0</v>
      </c>
      <c r="J31" s="74">
        <f>'Emp-18'!O32</f>
        <v>0</v>
      </c>
      <c r="K31" s="74">
        <f>'Emp-18'!Q17</f>
        <v>32125</v>
      </c>
      <c r="L31" s="75">
        <f>'Emp-18'!P17</f>
        <v>0</v>
      </c>
      <c r="M31" s="74">
        <f>'Emp-18'!O33</f>
        <v>0</v>
      </c>
      <c r="N31" s="82">
        <f t="shared" si="0"/>
        <v>95576</v>
      </c>
      <c r="O31" s="90">
        <f t="shared" si="0"/>
        <v>0</v>
      </c>
      <c r="P31" s="84">
        <f t="shared" si="0"/>
        <v>0</v>
      </c>
    </row>
    <row r="32" spans="1:16" ht="20.45" customHeight="1">
      <c r="A32" s="79">
        <f>'Emp.-Detail'!A27</f>
        <v>19</v>
      </c>
      <c r="B32" s="80" t="str">
        <f>'Emp.-Detail'!B27</f>
        <v xml:space="preserve">KAMAL KISHOR RANKAWAT </v>
      </c>
      <c r="C32" s="80" t="str">
        <f>'Emp.-Detail'!C27</f>
        <v>LDC</v>
      </c>
      <c r="D32" s="81" t="str">
        <f>'Emp.-Detail'!D27</f>
        <v>AVUPR4488E</v>
      </c>
      <c r="E32" s="74">
        <f>'Emp-19'!Q15</f>
        <v>25310</v>
      </c>
      <c r="F32" s="75">
        <f>'Emp-19'!P15</f>
        <v>0</v>
      </c>
      <c r="G32" s="74">
        <f>'Emp-19'!O31</f>
        <v>0</v>
      </c>
      <c r="H32" s="74">
        <f>'Emp-19'!Q16</f>
        <v>25956</v>
      </c>
      <c r="I32" s="75">
        <f>'Emp-19'!P16</f>
        <v>0</v>
      </c>
      <c r="J32" s="74">
        <f>'Emp-19'!O32</f>
        <v>0</v>
      </c>
      <c r="K32" s="74">
        <f>'Emp-19'!Q17</f>
        <v>25956</v>
      </c>
      <c r="L32" s="75">
        <f>'Emp-19'!P17</f>
        <v>0</v>
      </c>
      <c r="M32" s="74">
        <f>'Emp-19'!O33</f>
        <v>0</v>
      </c>
      <c r="N32" s="82">
        <f t="shared" ref="N32:P33" si="1">E32+H32+K32</f>
        <v>77222</v>
      </c>
      <c r="O32" s="90">
        <f t="shared" si="1"/>
        <v>0</v>
      </c>
      <c r="P32" s="84">
        <f t="shared" si="1"/>
        <v>0</v>
      </c>
    </row>
    <row r="33" spans="1:19" ht="20.45" customHeight="1">
      <c r="A33" s="79">
        <f>'Emp.-Detail'!A28</f>
        <v>20</v>
      </c>
      <c r="B33" s="80" t="str">
        <f>'Emp.-Detail'!B28</f>
        <v>VINOD KUMAR SHARMA</v>
      </c>
      <c r="C33" s="80" t="str">
        <f>'Emp.-Detail'!C28</f>
        <v>Lab.Boy.</v>
      </c>
      <c r="D33" s="81" t="str">
        <f>'Emp.-Detail'!D28</f>
        <v>CJOPK0625C</v>
      </c>
      <c r="E33" s="74">
        <f>'Emp-20'!Q15</f>
        <v>26485</v>
      </c>
      <c r="F33" s="75">
        <f>'Emp-20'!P15</f>
        <v>0</v>
      </c>
      <c r="G33" s="74">
        <f>'Emp-20'!O31</f>
        <v>0</v>
      </c>
      <c r="H33" s="74">
        <f>'Emp-20'!Q16</f>
        <v>27161</v>
      </c>
      <c r="I33" s="75">
        <f>'Emp-20'!P16</f>
        <v>0</v>
      </c>
      <c r="J33" s="74">
        <f>'Emp-20'!O32</f>
        <v>0</v>
      </c>
      <c r="K33" s="74">
        <f>'Emp-20'!Q17</f>
        <v>27161</v>
      </c>
      <c r="L33" s="75">
        <f>'Emp-20'!P17</f>
        <v>0</v>
      </c>
      <c r="M33" s="74">
        <f>'Emp-20'!O33</f>
        <v>0</v>
      </c>
      <c r="N33" s="82">
        <f t="shared" si="1"/>
        <v>80807</v>
      </c>
      <c r="O33" s="90">
        <f t="shared" si="1"/>
        <v>0</v>
      </c>
      <c r="P33" s="84">
        <f t="shared" si="1"/>
        <v>0</v>
      </c>
    </row>
    <row r="34" spans="1:19" ht="14.1" customHeight="1">
      <c r="A34" s="1284" t="s">
        <v>272</v>
      </c>
      <c r="B34" s="1285"/>
      <c r="C34" s="1285"/>
      <c r="D34" s="1285"/>
      <c r="E34" s="1285"/>
      <c r="F34" s="1285"/>
      <c r="G34" s="1285"/>
      <c r="H34" s="1285"/>
      <c r="I34" s="1285"/>
      <c r="J34" s="1285"/>
      <c r="K34" s="1285"/>
      <c r="L34" s="1285"/>
      <c r="M34" s="1285"/>
      <c r="N34" s="1285"/>
      <c r="O34" s="1285"/>
      <c r="P34" s="1286"/>
    </row>
    <row r="35" spans="1:19" ht="18">
      <c r="A35" s="85" t="s">
        <v>11</v>
      </c>
      <c r="B35" s="86" t="str">
        <f>'DDO '!H8</f>
        <v>LADURAM JAT</v>
      </c>
      <c r="C35" s="780" t="s">
        <v>50</v>
      </c>
      <c r="D35" s="780"/>
      <c r="E35" s="794" t="str">
        <f>'DDO '!H10</f>
        <v>PRINCIPAL</v>
      </c>
      <c r="F35" s="794"/>
      <c r="G35" s="794"/>
      <c r="H35" s="780" t="s">
        <v>275</v>
      </c>
      <c r="I35" s="780"/>
      <c r="J35" s="780"/>
      <c r="K35" s="780"/>
      <c r="L35" s="780"/>
      <c r="M35" s="780"/>
      <c r="N35" s="780"/>
      <c r="O35" s="780"/>
      <c r="P35" s="781"/>
    </row>
    <row r="36" spans="1:19">
      <c r="A36" s="87"/>
      <c r="B36" s="88" t="s">
        <v>273</v>
      </c>
      <c r="C36" s="794" t="str">
        <f>'DDO '!H22</f>
        <v>Govt. PCB Sr. Sec. School, Sujangarh</v>
      </c>
      <c r="D36" s="794"/>
      <c r="E36" s="794"/>
      <c r="F36" s="794"/>
      <c r="G36" s="1295" t="s">
        <v>274</v>
      </c>
      <c r="H36" s="1295"/>
      <c r="I36" s="1295"/>
      <c r="J36" s="1295"/>
      <c r="K36" s="1295"/>
      <c r="L36" s="1295"/>
      <c r="M36" s="1295"/>
      <c r="N36" s="1295"/>
      <c r="O36" s="1295"/>
      <c r="P36" s="1296"/>
    </row>
    <row r="37" spans="1:19" ht="9.9499999999999993" customHeight="1">
      <c r="A37" s="410"/>
      <c r="B37" s="1119"/>
      <c r="C37" s="1119"/>
      <c r="D37" s="1119"/>
      <c r="E37" s="1119"/>
      <c r="F37" s="1119"/>
      <c r="G37" s="1119"/>
      <c r="H37" s="1119"/>
      <c r="I37" s="1119"/>
      <c r="J37" s="1119"/>
      <c r="K37" s="1119"/>
      <c r="L37" s="1119"/>
      <c r="M37" s="1119"/>
      <c r="N37" s="1119"/>
      <c r="O37" s="1119"/>
      <c r="P37" s="411"/>
      <c r="S37" s="70"/>
    </row>
    <row r="38" spans="1:19" ht="9.9499999999999993" customHeight="1">
      <c r="A38" s="410"/>
      <c r="B38" s="1119"/>
      <c r="C38" s="1119"/>
      <c r="D38" s="1119"/>
      <c r="E38" s="1119"/>
      <c r="F38" s="1119"/>
      <c r="G38" s="1119"/>
      <c r="H38" s="1119"/>
      <c r="I38" s="1119"/>
      <c r="J38" s="1119"/>
      <c r="K38" s="1119"/>
      <c r="L38" s="1119"/>
      <c r="M38" s="1119"/>
      <c r="N38" s="1119"/>
      <c r="O38" s="1119"/>
      <c r="P38" s="411"/>
    </row>
    <row r="39" spans="1:19" ht="9.9499999999999993" customHeight="1">
      <c r="A39" s="410"/>
      <c r="B39" s="1119"/>
      <c r="C39" s="1119"/>
      <c r="D39" s="1119"/>
      <c r="E39" s="1119"/>
      <c r="F39" s="1119"/>
      <c r="G39" s="1119"/>
      <c r="H39" s="1119"/>
      <c r="I39" s="1119"/>
      <c r="J39" s="1119"/>
      <c r="K39" s="1119"/>
      <c r="L39" s="1119"/>
      <c r="M39" s="1119"/>
      <c r="N39" s="1119"/>
      <c r="O39" s="1119"/>
      <c r="P39" s="411"/>
    </row>
    <row r="40" spans="1:19" ht="15.75" thickBot="1">
      <c r="A40" s="1274"/>
      <c r="B40" s="1273"/>
      <c r="C40" s="1273"/>
      <c r="D40" s="1273"/>
      <c r="E40" s="1273" t="s">
        <v>215</v>
      </c>
      <c r="F40" s="1273"/>
      <c r="G40" s="1273"/>
      <c r="H40" s="1273"/>
      <c r="I40" s="1273"/>
      <c r="J40" s="1273"/>
      <c r="K40" s="1282" t="s">
        <v>53</v>
      </c>
      <c r="L40" s="1282"/>
      <c r="M40" s="1282"/>
      <c r="N40" s="1282"/>
      <c r="O40" s="1282"/>
      <c r="P40" s="1283"/>
    </row>
    <row r="41" spans="1:19" ht="5.25" customHeight="1"/>
  </sheetData>
  <sheetProtection password="CCB4" sheet="1" objects="1" scenarios="1" selectLockedCells="1"/>
  <mergeCells count="61">
    <mergeCell ref="E40:F40"/>
    <mergeCell ref="G40:J40"/>
    <mergeCell ref="A40:D40"/>
    <mergeCell ref="C36:F36"/>
    <mergeCell ref="K40:P40"/>
    <mergeCell ref="A9:B9"/>
    <mergeCell ref="C9:G9"/>
    <mergeCell ref="A37:P39"/>
    <mergeCell ref="G36:P36"/>
    <mergeCell ref="J12:J13"/>
    <mergeCell ref="K12:K13"/>
    <mergeCell ref="L12:L13"/>
    <mergeCell ref="M12:M13"/>
    <mergeCell ref="A34:P34"/>
    <mergeCell ref="C35:D35"/>
    <mergeCell ref="E35:G35"/>
    <mergeCell ref="H35:P35"/>
    <mergeCell ref="H9:M9"/>
    <mergeCell ref="N9:P9"/>
    <mergeCell ref="A10:P10"/>
    <mergeCell ref="A11:A13"/>
    <mergeCell ref="B11:B13"/>
    <mergeCell ref="C11:C13"/>
    <mergeCell ref="D11:D13"/>
    <mergeCell ref="E11:G11"/>
    <mergeCell ref="E12:E13"/>
    <mergeCell ref="F12:F13"/>
    <mergeCell ref="G12:G13"/>
    <mergeCell ref="O11:O13"/>
    <mergeCell ref="P11:P13"/>
    <mergeCell ref="H12:H13"/>
    <mergeCell ref="I12:I13"/>
    <mergeCell ref="H11:J11"/>
    <mergeCell ref="K11:M11"/>
    <mergeCell ref="N11:N13"/>
    <mergeCell ref="N7:P7"/>
    <mergeCell ref="A8:B8"/>
    <mergeCell ref="C8:D8"/>
    <mergeCell ref="E8:G8"/>
    <mergeCell ref="H8:J8"/>
    <mergeCell ref="K8:M8"/>
    <mergeCell ref="N8:P8"/>
    <mergeCell ref="A7:B7"/>
    <mergeCell ref="C7:D7"/>
    <mergeCell ref="E7:G7"/>
    <mergeCell ref="H7:J7"/>
    <mergeCell ref="K7:M7"/>
    <mergeCell ref="A4:D4"/>
    <mergeCell ref="E4:I4"/>
    <mergeCell ref="J4:P4"/>
    <mergeCell ref="A5:P5"/>
    <mergeCell ref="A6:P6"/>
    <mergeCell ref="A1:B1"/>
    <mergeCell ref="A3:B3"/>
    <mergeCell ref="C3:D3"/>
    <mergeCell ref="E3:I3"/>
    <mergeCell ref="J3:M3"/>
    <mergeCell ref="A2:D2"/>
    <mergeCell ref="E2:P2"/>
    <mergeCell ref="N3:P3"/>
    <mergeCell ref="C1:XFD1"/>
  </mergeCells>
  <hyperlinks>
    <hyperlink ref="A1:B1" location="'I-Tax Master'!A1" tooltip=" " display="Back To Main Menu"/>
  </hyperlinks>
  <pageMargins left="1" right="0" top="0.25" bottom="0.25" header="0" footer="0"/>
  <pageSetup paperSize="9" scale="80" orientation="landscape" verticalDpi="0" r:id="rId1"/>
  <ignoredErrors>
    <ignoredError sqref="A2:P41" unlockedFormula="1"/>
  </ignoredErrors>
</worksheet>
</file>

<file path=xl/worksheets/sheet28.xml><?xml version="1.0" encoding="utf-8"?>
<worksheet xmlns="http://schemas.openxmlformats.org/spreadsheetml/2006/main" xmlns:r="http://schemas.openxmlformats.org/officeDocument/2006/relationships">
  <dimension ref="A1:V41"/>
  <sheetViews>
    <sheetView workbookViewId="0">
      <selection sqref="A1:B1"/>
    </sheetView>
  </sheetViews>
  <sheetFormatPr defaultColWidth="0" defaultRowHeight="15" zeroHeight="1"/>
  <cols>
    <col min="1" max="1" width="4.42578125" style="50" customWidth="1"/>
    <col min="2" max="2" width="30.42578125" style="50" customWidth="1"/>
    <col min="3" max="3" width="14.140625" style="50" customWidth="1"/>
    <col min="4" max="4" width="14.7109375" style="50" customWidth="1"/>
    <col min="5" max="5" width="10" style="50" customWidth="1"/>
    <col min="6" max="6" width="6.85546875" style="50" customWidth="1"/>
    <col min="7" max="8" width="9.140625" style="50" customWidth="1"/>
    <col min="9" max="9" width="7.42578125" style="50" customWidth="1"/>
    <col min="10" max="10" width="8.140625" style="50" customWidth="1"/>
    <col min="11" max="11" width="9.140625" style="50" customWidth="1"/>
    <col min="12" max="12" width="7.42578125" style="50" customWidth="1"/>
    <col min="13" max="13" width="9.140625" style="50" customWidth="1"/>
    <col min="14" max="14" width="9.85546875" style="50" customWidth="1"/>
    <col min="15" max="15" width="8.140625" style="50" customWidth="1"/>
    <col min="16" max="16" width="9.140625" style="50" customWidth="1"/>
    <col min="17" max="17" width="0.85546875" style="50" customWidth="1"/>
    <col min="18" max="22" width="0" style="18" hidden="1" customWidth="1"/>
    <col min="23" max="16384" width="9.140625" style="18" hidden="1"/>
  </cols>
  <sheetData>
    <row r="1" spans="1:22" s="1172" customFormat="1" ht="15.75" customHeight="1" thickBot="1">
      <c r="A1" s="1305" t="s">
        <v>403</v>
      </c>
      <c r="B1" s="1305"/>
    </row>
    <row r="2" spans="1:22" ht="20.100000000000001" customHeight="1">
      <c r="A2" s="1278" t="str">
        <f>'Emp.-Detail'!A2</f>
        <v xml:space="preserve">Office Name:- </v>
      </c>
      <c r="B2" s="1279"/>
      <c r="C2" s="1279"/>
      <c r="D2" s="1279"/>
      <c r="E2" s="1280" t="str">
        <f>'DDO '!B2</f>
        <v>GOVT.SEC.SCHOOL DEWANI</v>
      </c>
      <c r="F2" s="1280"/>
      <c r="G2" s="1280"/>
      <c r="H2" s="1280"/>
      <c r="I2" s="1280"/>
      <c r="J2" s="1280"/>
      <c r="K2" s="1280"/>
      <c r="L2" s="1280"/>
      <c r="M2" s="1280"/>
      <c r="N2" s="1280"/>
      <c r="O2" s="1280"/>
      <c r="P2" s="1281"/>
    </row>
    <row r="3" spans="1:22" s="93" customFormat="1" ht="18" customHeight="1">
      <c r="A3" s="1030" t="str">
        <f>'DDO '!A3</f>
        <v xml:space="preserve">Financial Year :- </v>
      </c>
      <c r="B3" s="1031"/>
      <c r="C3" s="1031" t="str">
        <f>'DDO '!B3</f>
        <v>2016-17</v>
      </c>
      <c r="D3" s="1031"/>
      <c r="E3" s="1306" t="s">
        <v>270</v>
      </c>
      <c r="F3" s="1306"/>
      <c r="G3" s="1306"/>
      <c r="H3" s="1306"/>
      <c r="I3" s="1306"/>
      <c r="J3" s="1031" t="str">
        <f>'DDO '!F3</f>
        <v>Assessment Year :-</v>
      </c>
      <c r="K3" s="1031"/>
      <c r="L3" s="1031"/>
      <c r="M3" s="1031"/>
      <c r="N3" s="1031" t="str">
        <f>'DDO '!G3</f>
        <v>2017-18</v>
      </c>
      <c r="O3" s="1031"/>
      <c r="P3" s="1307"/>
      <c r="Q3" s="95"/>
    </row>
    <row r="4" spans="1:22" s="93" customFormat="1" ht="18" customHeight="1">
      <c r="A4" s="891"/>
      <c r="B4" s="780"/>
      <c r="C4" s="780"/>
      <c r="D4" s="780"/>
      <c r="E4" s="1031" t="s">
        <v>269</v>
      </c>
      <c r="F4" s="1031"/>
      <c r="G4" s="1031"/>
      <c r="H4" s="1031"/>
      <c r="I4" s="1031"/>
      <c r="J4" s="780"/>
      <c r="K4" s="780"/>
      <c r="L4" s="780"/>
      <c r="M4" s="780"/>
      <c r="N4" s="780"/>
      <c r="O4" s="780"/>
      <c r="P4" s="781"/>
      <c r="Q4" s="95"/>
    </row>
    <row r="5" spans="1:22" s="93" customFormat="1" ht="18" customHeight="1">
      <c r="A5" s="891" t="s">
        <v>328</v>
      </c>
      <c r="B5" s="780"/>
      <c r="C5" s="780"/>
      <c r="D5" s="780"/>
      <c r="E5" s="780"/>
      <c r="F5" s="780"/>
      <c r="G5" s="780"/>
      <c r="H5" s="780"/>
      <c r="I5" s="780"/>
      <c r="J5" s="780"/>
      <c r="K5" s="780"/>
      <c r="L5" s="780"/>
      <c r="M5" s="780"/>
      <c r="N5" s="780"/>
      <c r="O5" s="780"/>
      <c r="P5" s="781"/>
      <c r="Q5" s="95"/>
    </row>
    <row r="6" spans="1:22" s="93" customFormat="1" ht="15" customHeight="1">
      <c r="A6" s="1308" t="s">
        <v>329</v>
      </c>
      <c r="B6" s="1306"/>
      <c r="C6" s="1306"/>
      <c r="D6" s="1306"/>
      <c r="E6" s="1306"/>
      <c r="F6" s="1306"/>
      <c r="G6" s="1306"/>
      <c r="H6" s="1306"/>
      <c r="I6" s="1306"/>
      <c r="J6" s="1306"/>
      <c r="K6" s="1306"/>
      <c r="L6" s="1306"/>
      <c r="M6" s="1306"/>
      <c r="N6" s="1306"/>
      <c r="O6" s="1306"/>
      <c r="P6" s="1309"/>
      <c r="Q6" s="95"/>
    </row>
    <row r="7" spans="1:22" s="93" customFormat="1" ht="18" customHeight="1">
      <c r="A7" s="1030" t="str">
        <f>'DDO '!A8</f>
        <v>Name of Deducter :-</v>
      </c>
      <c r="B7" s="1031"/>
      <c r="C7" s="1031" t="str">
        <f>'DDO '!L8</f>
        <v>LADURAM JAT</v>
      </c>
      <c r="D7" s="1031"/>
      <c r="E7" s="1031" t="str">
        <f>'DDO '!A10</f>
        <v>Designation of Deducter :-</v>
      </c>
      <c r="F7" s="1031"/>
      <c r="G7" s="1031"/>
      <c r="H7" s="1031" t="str">
        <f>'DDO '!L10</f>
        <v>PRINCIPAL</v>
      </c>
      <c r="I7" s="1031"/>
      <c r="J7" s="1031"/>
      <c r="K7" s="1031" t="str">
        <f>'DDO '!A11</f>
        <v>PAN No.  of  Deducter :-</v>
      </c>
      <c r="L7" s="1031"/>
      <c r="M7" s="1031"/>
      <c r="N7" s="1031" t="str">
        <f>'DDO '!L11</f>
        <v>ABXPJ6624R</v>
      </c>
      <c r="O7" s="1031"/>
      <c r="P7" s="1307"/>
      <c r="Q7" s="95"/>
    </row>
    <row r="8" spans="1:22" s="93" customFormat="1" ht="18" customHeight="1">
      <c r="A8" s="1030" t="str">
        <f>'DDO '!A9</f>
        <v>Father`s Name of Deducter :-</v>
      </c>
      <c r="B8" s="1031"/>
      <c r="C8" s="1031" t="str">
        <f>'DDO '!L9</f>
        <v>SH. DHANA RAM</v>
      </c>
      <c r="D8" s="1031"/>
      <c r="E8" s="1031" t="str">
        <f>'DDO '!A16</f>
        <v>Mobile no. of Deducter :-</v>
      </c>
      <c r="F8" s="1031"/>
      <c r="G8" s="1031"/>
      <c r="H8" s="1031" t="str">
        <f>'DDO '!L16</f>
        <v>09461110977</v>
      </c>
      <c r="I8" s="1031"/>
      <c r="J8" s="1031"/>
      <c r="K8" s="1031" t="str">
        <f>'DDO '!A13</f>
        <v>TAN  No. of  Office :-</v>
      </c>
      <c r="L8" s="1031"/>
      <c r="M8" s="1031"/>
      <c r="N8" s="1031" t="str">
        <f>'DDO '!L13</f>
        <v>JPRG04123A</v>
      </c>
      <c r="O8" s="1031"/>
      <c r="P8" s="1307"/>
      <c r="Q8" s="95"/>
      <c r="S8" s="94"/>
      <c r="V8" s="94"/>
    </row>
    <row r="9" spans="1:22" s="93" customFormat="1" ht="18" customHeight="1">
      <c r="A9" s="1226"/>
      <c r="B9" s="1227"/>
      <c r="C9" s="1031" t="str">
        <f>'DDO '!A14</f>
        <v>E-mail ID of Office :-</v>
      </c>
      <c r="D9" s="1031"/>
      <c r="E9" s="1031"/>
      <c r="F9" s="1031"/>
      <c r="G9" s="874"/>
      <c r="H9" s="1313" t="str">
        <f>'DDO '!L14</f>
        <v>pcbsugh@yahoo.in</v>
      </c>
      <c r="I9" s="1314"/>
      <c r="J9" s="1314"/>
      <c r="K9" s="1314"/>
      <c r="L9" s="1314"/>
      <c r="M9" s="1315"/>
      <c r="N9" s="1227"/>
      <c r="O9" s="1227"/>
      <c r="P9" s="1312"/>
      <c r="Q9" s="95"/>
    </row>
    <row r="10" spans="1:22" ht="15.75" thickBot="1">
      <c r="A10" s="1201"/>
      <c r="B10" s="1200"/>
      <c r="C10" s="1200"/>
      <c r="D10" s="1200"/>
      <c r="E10" s="1200"/>
      <c r="F10" s="1200"/>
      <c r="G10" s="1200"/>
      <c r="H10" s="1200"/>
      <c r="I10" s="1200"/>
      <c r="J10" s="1200"/>
      <c r="K10" s="1200"/>
      <c r="L10" s="1200"/>
      <c r="M10" s="1200"/>
      <c r="N10" s="1200"/>
      <c r="O10" s="1200"/>
      <c r="P10" s="1294"/>
      <c r="T10" s="22"/>
    </row>
    <row r="11" spans="1:22" ht="15" customHeight="1">
      <c r="A11" s="1289" t="s">
        <v>208</v>
      </c>
      <c r="B11" s="1297" t="s">
        <v>209</v>
      </c>
      <c r="C11" s="1297" t="s">
        <v>214</v>
      </c>
      <c r="D11" s="1269" t="s">
        <v>259</v>
      </c>
      <c r="E11" s="1268" t="s">
        <v>325</v>
      </c>
      <c r="F11" s="1268"/>
      <c r="G11" s="1268"/>
      <c r="H11" s="1268" t="s">
        <v>326</v>
      </c>
      <c r="I11" s="1268"/>
      <c r="J11" s="1268"/>
      <c r="K11" s="1268" t="s">
        <v>327</v>
      </c>
      <c r="L11" s="1268"/>
      <c r="M11" s="1268"/>
      <c r="N11" s="1259" t="s">
        <v>334</v>
      </c>
      <c r="O11" s="1316" t="s">
        <v>267</v>
      </c>
      <c r="P11" s="1319" t="s">
        <v>265</v>
      </c>
    </row>
    <row r="12" spans="1:22" ht="15" customHeight="1">
      <c r="A12" s="1290"/>
      <c r="B12" s="1298"/>
      <c r="C12" s="1298"/>
      <c r="D12" s="1270"/>
      <c r="E12" s="1257" t="s">
        <v>266</v>
      </c>
      <c r="F12" s="1302" t="s">
        <v>263</v>
      </c>
      <c r="G12" s="1257" t="s">
        <v>264</v>
      </c>
      <c r="H12" s="1257" t="s">
        <v>266</v>
      </c>
      <c r="I12" s="1302" t="s">
        <v>263</v>
      </c>
      <c r="J12" s="1257" t="s">
        <v>264</v>
      </c>
      <c r="K12" s="1257" t="s">
        <v>266</v>
      </c>
      <c r="L12" s="1302" t="s">
        <v>263</v>
      </c>
      <c r="M12" s="1257" t="s">
        <v>264</v>
      </c>
      <c r="N12" s="1260"/>
      <c r="O12" s="1317"/>
      <c r="P12" s="1320"/>
    </row>
    <row r="13" spans="1:22" ht="15.75" thickBot="1">
      <c r="A13" s="1291"/>
      <c r="B13" s="1299"/>
      <c r="C13" s="1299"/>
      <c r="D13" s="1271"/>
      <c r="E13" s="1258"/>
      <c r="F13" s="1303"/>
      <c r="G13" s="1258"/>
      <c r="H13" s="1258"/>
      <c r="I13" s="1303"/>
      <c r="J13" s="1258"/>
      <c r="K13" s="1258"/>
      <c r="L13" s="1303"/>
      <c r="M13" s="1258"/>
      <c r="N13" s="1261"/>
      <c r="O13" s="1318"/>
      <c r="P13" s="1321"/>
    </row>
    <row r="14" spans="1:22" ht="20.45" customHeight="1">
      <c r="A14" s="71">
        <f>'Emp.-Detail'!A9</f>
        <v>1</v>
      </c>
      <c r="B14" s="72" t="str">
        <f>'Emp.-Detail'!B9</f>
        <v>MADAN LAL PILANIYA</v>
      </c>
      <c r="C14" s="72" t="str">
        <f>'Emp.-Detail'!C9</f>
        <v>HEADMASTER</v>
      </c>
      <c r="D14" s="73" t="str">
        <f>'Emp.-Detail'!D9</f>
        <v>AQPPP7545Q</v>
      </c>
      <c r="E14" s="74">
        <f>'Emp-1'!Q18</f>
        <v>52128</v>
      </c>
      <c r="F14" s="75">
        <f>'Emp-1'!P18</f>
        <v>0</v>
      </c>
      <c r="G14" s="74">
        <f>'Emp-1'!O34</f>
        <v>2000</v>
      </c>
      <c r="H14" s="74">
        <f>'Emp-1'!Q19</f>
        <v>52128</v>
      </c>
      <c r="I14" s="75">
        <f>'Emp-1'!P19</f>
        <v>0</v>
      </c>
      <c r="J14" s="74">
        <f>'Emp-1'!O35</f>
        <v>2000</v>
      </c>
      <c r="K14" s="74">
        <f>'Emp-1'!Q20</f>
        <v>52128</v>
      </c>
      <c r="L14" s="75">
        <f>'Emp-1'!P20</f>
        <v>0</v>
      </c>
      <c r="M14" s="74">
        <f>'Emp-1'!O36</f>
        <v>2000</v>
      </c>
      <c r="N14" s="76">
        <f>E14+H14+K14</f>
        <v>156384</v>
      </c>
      <c r="O14" s="89">
        <f>F14+I14+L14</f>
        <v>0</v>
      </c>
      <c r="P14" s="78">
        <f>G14+J14+M14</f>
        <v>6000</v>
      </c>
      <c r="Q14" s="70"/>
    </row>
    <row r="15" spans="1:22" ht="20.45" customHeight="1">
      <c r="A15" s="79">
        <f>'Emp.-Detail'!A10</f>
        <v>2</v>
      </c>
      <c r="B15" s="80" t="str">
        <f>'Emp.-Detail'!B10</f>
        <v>JAGADISH PRASAD CHOUHAN</v>
      </c>
      <c r="C15" s="80" t="str">
        <f>'Emp.-Detail'!C10</f>
        <v>Lecturer</v>
      </c>
      <c r="D15" s="81" t="str">
        <f>'Emp.-Detail'!D10</f>
        <v>ABPPC0835K</v>
      </c>
      <c r="E15" s="74">
        <f>'Emp-2'!Q18</f>
        <v>62708</v>
      </c>
      <c r="F15" s="75">
        <f>'Emp-2'!P18</f>
        <v>0</v>
      </c>
      <c r="G15" s="74">
        <f>'Emp-2'!O34</f>
        <v>3500</v>
      </c>
      <c r="H15" s="74">
        <f>'Emp-2'!Q19</f>
        <v>62708</v>
      </c>
      <c r="I15" s="75">
        <f>'Emp-2'!P19</f>
        <v>0</v>
      </c>
      <c r="J15" s="74">
        <f>'Emp-2'!O35</f>
        <v>3500</v>
      </c>
      <c r="K15" s="74">
        <f>'Emp-2'!Q20</f>
        <v>62708</v>
      </c>
      <c r="L15" s="75">
        <f>'Emp-2'!P20</f>
        <v>0</v>
      </c>
      <c r="M15" s="74">
        <f>'Emp-2'!O36</f>
        <v>3500</v>
      </c>
      <c r="N15" s="82">
        <f t="shared" ref="N15:P31" si="0">E15+H15+K15</f>
        <v>188124</v>
      </c>
      <c r="O15" s="90">
        <f t="shared" si="0"/>
        <v>0</v>
      </c>
      <c r="P15" s="84">
        <f t="shared" si="0"/>
        <v>10500</v>
      </c>
    </row>
    <row r="16" spans="1:22" ht="20.45" customHeight="1">
      <c r="A16" s="79">
        <f>'Emp.-Detail'!A11</f>
        <v>3</v>
      </c>
      <c r="B16" s="80" t="str">
        <f>'Emp.-Detail'!B11</f>
        <v>RAM PRASHAD SHARMA</v>
      </c>
      <c r="C16" s="80" t="str">
        <f>'Emp.-Detail'!C11</f>
        <v>Lecturer</v>
      </c>
      <c r="D16" s="81" t="str">
        <f>'Emp.-Detail'!D11</f>
        <v>AGDPS0116J</v>
      </c>
      <c r="E16" s="74">
        <f>'Emp-3'!Q18</f>
        <v>61479</v>
      </c>
      <c r="F16" s="75">
        <f>'Emp-3'!P18</f>
        <v>0</v>
      </c>
      <c r="G16" s="74">
        <f>'Emp-3'!O34</f>
        <v>2000</v>
      </c>
      <c r="H16" s="74">
        <f>'Emp-3'!Q19</f>
        <v>61479</v>
      </c>
      <c r="I16" s="75">
        <f>'Emp-3'!P19</f>
        <v>0</v>
      </c>
      <c r="J16" s="74">
        <f>'Emp-3'!O35</f>
        <v>2000</v>
      </c>
      <c r="K16" s="74">
        <f>'Emp-3'!Q20</f>
        <v>61479</v>
      </c>
      <c r="L16" s="75">
        <f>'Emp-3'!P20</f>
        <v>0</v>
      </c>
      <c r="M16" s="74">
        <f>'Emp-3'!O36</f>
        <v>2000</v>
      </c>
      <c r="N16" s="82">
        <f t="shared" si="0"/>
        <v>184437</v>
      </c>
      <c r="O16" s="90">
        <f t="shared" si="0"/>
        <v>0</v>
      </c>
      <c r="P16" s="84">
        <f t="shared" si="0"/>
        <v>6000</v>
      </c>
    </row>
    <row r="17" spans="1:16" ht="20.45" customHeight="1">
      <c r="A17" s="79">
        <f>'Emp.-Detail'!A12</f>
        <v>4</v>
      </c>
      <c r="B17" s="80" t="str">
        <f>'Emp.-Detail'!B12</f>
        <v>BHAGIRATH GURDA</v>
      </c>
      <c r="C17" s="80" t="str">
        <f>'Emp.-Detail'!C12</f>
        <v>Lecturer</v>
      </c>
      <c r="D17" s="81" t="str">
        <f>'Emp.-Detail'!D12</f>
        <v>ADZPG8777C</v>
      </c>
      <c r="E17" s="74">
        <f>'Emp-4'!Q18</f>
        <v>58997</v>
      </c>
      <c r="F17" s="75">
        <f>'Emp-4'!P18</f>
        <v>0</v>
      </c>
      <c r="G17" s="74">
        <f>'Emp-4'!O34</f>
        <v>3000</v>
      </c>
      <c r="H17" s="74">
        <f>'Emp-4'!Q19</f>
        <v>58997</v>
      </c>
      <c r="I17" s="75">
        <f>'Emp-4'!P19</f>
        <v>0</v>
      </c>
      <c r="J17" s="74">
        <f>'Emp-4'!O35</f>
        <v>3000</v>
      </c>
      <c r="K17" s="74">
        <f>'Emp-4'!Q20</f>
        <v>58997</v>
      </c>
      <c r="L17" s="75">
        <f>'Emp-4'!P20</f>
        <v>0</v>
      </c>
      <c r="M17" s="74">
        <f>'Emp-4'!O36</f>
        <v>3000</v>
      </c>
      <c r="N17" s="82">
        <f t="shared" si="0"/>
        <v>176991</v>
      </c>
      <c r="O17" s="90">
        <f t="shared" si="0"/>
        <v>0</v>
      </c>
      <c r="P17" s="84">
        <f t="shared" si="0"/>
        <v>9000</v>
      </c>
    </row>
    <row r="18" spans="1:16" ht="20.45" customHeight="1">
      <c r="A18" s="79">
        <f>'Emp.-Detail'!A13</f>
        <v>5</v>
      </c>
      <c r="B18" s="80" t="str">
        <f>'Emp.-Detail'!B13</f>
        <v xml:space="preserve">DEVKRAN SINGH </v>
      </c>
      <c r="C18" s="80" t="str">
        <f>'Emp.-Detail'!C13</f>
        <v>Lecturer</v>
      </c>
      <c r="D18" s="81" t="str">
        <f>'Emp.-Detail'!D13</f>
        <v>AMCPS4395J</v>
      </c>
      <c r="E18" s="74">
        <f>'Emp-5'!Q18</f>
        <v>58997</v>
      </c>
      <c r="F18" s="75">
        <f>'Emp-5'!P18</f>
        <v>0</v>
      </c>
      <c r="G18" s="74">
        <f>'Emp-5'!O34</f>
        <v>3000</v>
      </c>
      <c r="H18" s="74">
        <f>'Emp-5'!Q19</f>
        <v>58997</v>
      </c>
      <c r="I18" s="75">
        <f>'Emp-5'!P19</f>
        <v>0</v>
      </c>
      <c r="J18" s="74">
        <f>'Emp-5'!O35</f>
        <v>3000</v>
      </c>
      <c r="K18" s="74">
        <f>'Emp-5'!Q20</f>
        <v>58997</v>
      </c>
      <c r="L18" s="75">
        <f>'Emp-5'!P20</f>
        <v>0</v>
      </c>
      <c r="M18" s="74">
        <f>'Emp-5'!O36</f>
        <v>3000</v>
      </c>
      <c r="N18" s="82">
        <f t="shared" si="0"/>
        <v>176991</v>
      </c>
      <c r="O18" s="90">
        <f t="shared" si="0"/>
        <v>0</v>
      </c>
      <c r="P18" s="84">
        <f t="shared" si="0"/>
        <v>9000</v>
      </c>
    </row>
    <row r="19" spans="1:16" ht="20.45" customHeight="1">
      <c r="A19" s="79">
        <f>'Emp.-Detail'!A14</f>
        <v>6</v>
      </c>
      <c r="B19" s="80" t="str">
        <f>'Emp.-Detail'!B14</f>
        <v xml:space="preserve">CHANDAR KALA </v>
      </c>
      <c r="C19" s="80" t="str">
        <f>'Emp.-Detail'!C14</f>
        <v>Lecturer</v>
      </c>
      <c r="D19" s="81" t="str">
        <f>'Emp.-Detail'!D14</f>
        <v>ACNPV0041M</v>
      </c>
      <c r="E19" s="74">
        <f>'Emp-6'!Q18</f>
        <v>57816</v>
      </c>
      <c r="F19" s="75">
        <f>'Emp-6'!P18</f>
        <v>0</v>
      </c>
      <c r="G19" s="74">
        <f>'Emp-6'!O34</f>
        <v>2000</v>
      </c>
      <c r="H19" s="74">
        <f>'Emp-6'!Q19</f>
        <v>57816</v>
      </c>
      <c r="I19" s="75">
        <f>'Emp-6'!P19</f>
        <v>0</v>
      </c>
      <c r="J19" s="74">
        <f>'Emp-6'!O35</f>
        <v>2000</v>
      </c>
      <c r="K19" s="74">
        <f>'Emp-6'!Q20</f>
        <v>57816</v>
      </c>
      <c r="L19" s="75">
        <f>'Emp-6'!P20</f>
        <v>0</v>
      </c>
      <c r="M19" s="74">
        <f>'Emp-6'!O36</f>
        <v>2000</v>
      </c>
      <c r="N19" s="82">
        <f t="shared" si="0"/>
        <v>173448</v>
      </c>
      <c r="O19" s="90">
        <f t="shared" si="0"/>
        <v>0</v>
      </c>
      <c r="P19" s="84">
        <f t="shared" si="0"/>
        <v>6000</v>
      </c>
    </row>
    <row r="20" spans="1:16" ht="20.45" customHeight="1">
      <c r="A20" s="79">
        <f>'Emp.-Detail'!A15</f>
        <v>7</v>
      </c>
      <c r="B20" s="80" t="str">
        <f>'Emp.-Detail'!B15</f>
        <v>BHOMA RAM MEENA</v>
      </c>
      <c r="C20" s="80" t="str">
        <f>'Emp.-Detail'!C15</f>
        <v>Lecturer</v>
      </c>
      <c r="D20" s="81" t="str">
        <f>'Emp.-Detail'!D15</f>
        <v>ACLPM3827E</v>
      </c>
      <c r="E20" s="74">
        <f>'Emp-7'!Q18</f>
        <v>52273</v>
      </c>
      <c r="F20" s="75">
        <f>'Emp-7'!P18</f>
        <v>0</v>
      </c>
      <c r="G20" s="74">
        <f>'Emp-7'!O34</f>
        <v>2000</v>
      </c>
      <c r="H20" s="74">
        <f>'Emp-7'!Q19</f>
        <v>52273</v>
      </c>
      <c r="I20" s="75">
        <f>'Emp-7'!P19</f>
        <v>0</v>
      </c>
      <c r="J20" s="74">
        <f>'Emp-7'!O35</f>
        <v>2000</v>
      </c>
      <c r="K20" s="74">
        <f>'Emp-7'!Q20</f>
        <v>52273</v>
      </c>
      <c r="L20" s="75">
        <f>'Emp-7'!P20</f>
        <v>0</v>
      </c>
      <c r="M20" s="74">
        <f>'Emp-7'!O36</f>
        <v>2000</v>
      </c>
      <c r="N20" s="82">
        <f t="shared" si="0"/>
        <v>156819</v>
      </c>
      <c r="O20" s="90">
        <f t="shared" si="0"/>
        <v>0</v>
      </c>
      <c r="P20" s="84">
        <f t="shared" si="0"/>
        <v>6000</v>
      </c>
    </row>
    <row r="21" spans="1:16" ht="20.45" customHeight="1">
      <c r="A21" s="79">
        <f>'Emp.-Detail'!A16</f>
        <v>8</v>
      </c>
      <c r="B21" s="80" t="str">
        <f>'Emp.-Detail'!B16</f>
        <v>VIJAY CHOUDHARY</v>
      </c>
      <c r="C21" s="80" t="str">
        <f>'Emp.-Detail'!C16</f>
        <v>Lecturer</v>
      </c>
      <c r="D21" s="81" t="str">
        <f>'Emp.-Detail'!D16</f>
        <v>AHMPC9320N</v>
      </c>
      <c r="E21" s="74">
        <f>'Emp-8'!Q18</f>
        <v>51405</v>
      </c>
      <c r="F21" s="75">
        <f>'Emp-8'!P18</f>
        <v>0</v>
      </c>
      <c r="G21" s="74">
        <f>'Emp-8'!O34</f>
        <v>2000</v>
      </c>
      <c r="H21" s="74">
        <f>'Emp-8'!Q19</f>
        <v>51405</v>
      </c>
      <c r="I21" s="75">
        <f>'Emp-8'!P19</f>
        <v>0</v>
      </c>
      <c r="J21" s="74">
        <f>'Emp-8'!O35</f>
        <v>2000</v>
      </c>
      <c r="K21" s="74">
        <f>'Emp-8'!Q20</f>
        <v>51405</v>
      </c>
      <c r="L21" s="75">
        <f>'Emp-8'!P20</f>
        <v>0</v>
      </c>
      <c r="M21" s="74">
        <f>'Emp-8'!O36</f>
        <v>2000</v>
      </c>
      <c r="N21" s="82">
        <f t="shared" si="0"/>
        <v>154215</v>
      </c>
      <c r="O21" s="90">
        <f t="shared" si="0"/>
        <v>0</v>
      </c>
      <c r="P21" s="84">
        <f t="shared" si="0"/>
        <v>6000</v>
      </c>
    </row>
    <row r="22" spans="1:16" ht="20.45" customHeight="1">
      <c r="A22" s="79">
        <f>'Emp.-Detail'!A17</f>
        <v>9</v>
      </c>
      <c r="B22" s="80" t="str">
        <f>'Emp.-Detail'!B17</f>
        <v xml:space="preserve">KAMALESH KUMAR </v>
      </c>
      <c r="C22" s="80" t="str">
        <f>'Emp.-Detail'!C17</f>
        <v>Lecturer</v>
      </c>
      <c r="D22" s="81" t="str">
        <f>'Emp.-Detail'!D17</f>
        <v>DLLPK8818M</v>
      </c>
      <c r="E22" s="74">
        <f>'Emp-9'!Q18</f>
        <v>49405</v>
      </c>
      <c r="F22" s="75">
        <f>'Emp-9'!P18</f>
        <v>0</v>
      </c>
      <c r="G22" s="74">
        <f>'Emp-9'!O34</f>
        <v>2000</v>
      </c>
      <c r="H22" s="74">
        <f>'Emp-8'!Q19</f>
        <v>51405</v>
      </c>
      <c r="I22" s="75">
        <f>'Emp-9'!P19</f>
        <v>0</v>
      </c>
      <c r="J22" s="74">
        <f>'Emp-9'!O35</f>
        <v>2000</v>
      </c>
      <c r="K22" s="74">
        <f>'Emp-9'!Q20</f>
        <v>49405</v>
      </c>
      <c r="L22" s="75">
        <f>'Emp-9'!P20</f>
        <v>0</v>
      </c>
      <c r="M22" s="74">
        <f>'Emp-9'!O36</f>
        <v>2000</v>
      </c>
      <c r="N22" s="82">
        <f t="shared" si="0"/>
        <v>150215</v>
      </c>
      <c r="O22" s="90">
        <f t="shared" si="0"/>
        <v>0</v>
      </c>
      <c r="P22" s="84">
        <f t="shared" si="0"/>
        <v>6000</v>
      </c>
    </row>
    <row r="23" spans="1:16" ht="20.45" customHeight="1">
      <c r="A23" s="79">
        <f>'Emp.-Detail'!A18</f>
        <v>10</v>
      </c>
      <c r="B23" s="80" t="str">
        <f>'Emp.-Detail'!B18</f>
        <v xml:space="preserve">SITARAM DADHICH </v>
      </c>
      <c r="C23" s="80" t="str">
        <f>'Emp.-Detail'!C18</f>
        <v>Lecturer</v>
      </c>
      <c r="D23" s="81" t="str">
        <f>'Emp.-Detail'!D18</f>
        <v>AFZPD5085N</v>
      </c>
      <c r="E23" s="74">
        <f>'Emp-10'!Q18</f>
        <v>47959</v>
      </c>
      <c r="F23" s="75">
        <f>'Emp-10'!P18</f>
        <v>0</v>
      </c>
      <c r="G23" s="74">
        <f>'Emp-10'!O34</f>
        <v>1500</v>
      </c>
      <c r="H23" s="74">
        <f>'Emp-10'!Q19</f>
        <v>47959</v>
      </c>
      <c r="I23" s="75">
        <f>'Emp-10'!P19</f>
        <v>0</v>
      </c>
      <c r="J23" s="74">
        <f>'Emp-10'!O35</f>
        <v>1500</v>
      </c>
      <c r="K23" s="74">
        <f>'Emp-10'!Q20</f>
        <v>47959</v>
      </c>
      <c r="L23" s="75">
        <f>'Emp-10'!P20</f>
        <v>0</v>
      </c>
      <c r="M23" s="74">
        <f>'Emp-10'!O36</f>
        <v>1500</v>
      </c>
      <c r="N23" s="82">
        <f t="shared" si="0"/>
        <v>143877</v>
      </c>
      <c r="O23" s="90">
        <f t="shared" si="0"/>
        <v>0</v>
      </c>
      <c r="P23" s="84">
        <f t="shared" si="0"/>
        <v>4500</v>
      </c>
    </row>
    <row r="24" spans="1:16" ht="20.45" customHeight="1">
      <c r="A24" s="79">
        <f>'Emp.-Detail'!A19</f>
        <v>11</v>
      </c>
      <c r="B24" s="80" t="str">
        <f>'Emp.-Detail'!B19</f>
        <v xml:space="preserve">VIJAY SINGH </v>
      </c>
      <c r="C24" s="80" t="str">
        <f>'Emp.-Detail'!C19</f>
        <v>Sr. Teacher</v>
      </c>
      <c r="D24" s="81" t="str">
        <f>'Emp.-Detail'!D19</f>
        <v>AIDPS3122L</v>
      </c>
      <c r="E24" s="74">
        <f>'Emp-11'!Q18</f>
        <v>63335</v>
      </c>
      <c r="F24" s="75">
        <f>'Emp-11'!P18</f>
        <v>0</v>
      </c>
      <c r="G24" s="74">
        <f>'Emp-11'!O34</f>
        <v>1000</v>
      </c>
      <c r="H24" s="74">
        <f>'Emp-11'!Q19</f>
        <v>63335</v>
      </c>
      <c r="I24" s="75">
        <f>'Emp-11'!P19</f>
        <v>0</v>
      </c>
      <c r="J24" s="74">
        <f>'Emp-11'!O35</f>
        <v>1000</v>
      </c>
      <c r="K24" s="74">
        <f>'Emp-11'!Q20</f>
        <v>63335</v>
      </c>
      <c r="L24" s="75">
        <f>'Emp-11'!P20</f>
        <v>0</v>
      </c>
      <c r="M24" s="74">
        <f>'Emp-11'!O36</f>
        <v>1000</v>
      </c>
      <c r="N24" s="82">
        <f t="shared" si="0"/>
        <v>190005</v>
      </c>
      <c r="O24" s="90">
        <f t="shared" si="0"/>
        <v>0</v>
      </c>
      <c r="P24" s="84">
        <f t="shared" si="0"/>
        <v>3000</v>
      </c>
    </row>
    <row r="25" spans="1:16" ht="20.45" customHeight="1">
      <c r="A25" s="79">
        <f>'Emp.-Detail'!A20</f>
        <v>12</v>
      </c>
      <c r="B25" s="80" t="str">
        <f>'Emp.-Detail'!B20</f>
        <v>RANVEER SINGH</v>
      </c>
      <c r="C25" s="80" t="str">
        <f>'Emp.-Detail'!C20</f>
        <v>Sr. Teacher</v>
      </c>
      <c r="D25" s="81" t="str">
        <f>'Emp.-Detail'!D20</f>
        <v>ABKPM3872F</v>
      </c>
      <c r="E25" s="74">
        <f>'Emp-12'!Q18</f>
        <v>63214</v>
      </c>
      <c r="F25" s="75">
        <f>'Emp-12'!P18</f>
        <v>0</v>
      </c>
      <c r="G25" s="74">
        <f>'Emp-12'!O34</f>
        <v>2000</v>
      </c>
      <c r="H25" s="74">
        <f>'Emp-12'!Q19</f>
        <v>63214</v>
      </c>
      <c r="I25" s="75">
        <f>'Emp-12'!P19</f>
        <v>0</v>
      </c>
      <c r="J25" s="74">
        <f>'Emp-12'!O35</f>
        <v>2000</v>
      </c>
      <c r="K25" s="74">
        <f>'Emp-12'!Q20</f>
        <v>63214</v>
      </c>
      <c r="L25" s="75">
        <f>'Emp-12'!P20</f>
        <v>0</v>
      </c>
      <c r="M25" s="74">
        <f>'Emp-12'!O36</f>
        <v>2000</v>
      </c>
      <c r="N25" s="82">
        <f t="shared" si="0"/>
        <v>189642</v>
      </c>
      <c r="O25" s="90">
        <f t="shared" si="0"/>
        <v>0</v>
      </c>
      <c r="P25" s="84">
        <f t="shared" si="0"/>
        <v>6000</v>
      </c>
    </row>
    <row r="26" spans="1:16" ht="20.45" customHeight="1">
      <c r="A26" s="79">
        <f>'Emp.-Detail'!A21</f>
        <v>13</v>
      </c>
      <c r="B26" s="80" t="str">
        <f>'Emp.-Detail'!B21</f>
        <v>VIJAY SANKAR SHARAMA</v>
      </c>
      <c r="C26" s="80" t="str">
        <f>'Emp.-Detail'!C21</f>
        <v>Sr. Teacher</v>
      </c>
      <c r="D26" s="81" t="str">
        <f>'Emp.-Detail'!D21</f>
        <v>ADUPS1283L</v>
      </c>
      <c r="E26" s="74">
        <f>'Emp-13'!Q18</f>
        <v>62708</v>
      </c>
      <c r="F26" s="75">
        <f>'Emp-13'!P18</f>
        <v>0</v>
      </c>
      <c r="G26" s="74">
        <f>'Emp-13'!O34</f>
        <v>3500</v>
      </c>
      <c r="H26" s="74">
        <f>'Emp-13'!Q19</f>
        <v>62708</v>
      </c>
      <c r="I26" s="75">
        <f>'Emp-13'!P19</f>
        <v>0</v>
      </c>
      <c r="J26" s="74">
        <f>'Emp-13'!O35</f>
        <v>3500</v>
      </c>
      <c r="K26" s="74">
        <f>'Emp-13'!Q20</f>
        <v>62708</v>
      </c>
      <c r="L26" s="75">
        <f>'Emp-13'!P20</f>
        <v>0</v>
      </c>
      <c r="M26" s="74">
        <f>'Emp-13'!O36</f>
        <v>3500</v>
      </c>
      <c r="N26" s="82">
        <f t="shared" si="0"/>
        <v>188124</v>
      </c>
      <c r="O26" s="90">
        <f t="shared" si="0"/>
        <v>0</v>
      </c>
      <c r="P26" s="84">
        <f t="shared" si="0"/>
        <v>10500</v>
      </c>
    </row>
    <row r="27" spans="1:16" ht="20.45" customHeight="1">
      <c r="A27" s="79">
        <f>'Emp.-Detail'!A22</f>
        <v>14</v>
      </c>
      <c r="B27" s="80" t="str">
        <f>'Emp.-Detail'!B22</f>
        <v xml:space="preserve">GOVIND RAM BHATI </v>
      </c>
      <c r="C27" s="80" t="str">
        <f>'Emp.-Detail'!C22</f>
        <v>Sr. Teacher</v>
      </c>
      <c r="D27" s="81" t="str">
        <f>'Emp.-Detail'!D22</f>
        <v>ASHPR1636E</v>
      </c>
      <c r="E27" s="74">
        <f>'Emp-14'!Q18</f>
        <v>53141</v>
      </c>
      <c r="F27" s="75">
        <f>'Emp-14'!P18</f>
        <v>0</v>
      </c>
      <c r="G27" s="74">
        <f>'Emp-14'!O34</f>
        <v>2000</v>
      </c>
      <c r="H27" s="74">
        <f>'Emp-14'!Q19</f>
        <v>53141</v>
      </c>
      <c r="I27" s="75">
        <f>'Emp-14'!P19</f>
        <v>0</v>
      </c>
      <c r="J27" s="74">
        <f>'Emp-14'!O35</f>
        <v>2000</v>
      </c>
      <c r="K27" s="74">
        <f>'Emp-14'!Q20</f>
        <v>53141</v>
      </c>
      <c r="L27" s="75">
        <f>'Emp-14'!P20</f>
        <v>0</v>
      </c>
      <c r="M27" s="74">
        <f>'Emp-14'!O36</f>
        <v>2000</v>
      </c>
      <c r="N27" s="82">
        <f t="shared" si="0"/>
        <v>159423</v>
      </c>
      <c r="O27" s="90">
        <f t="shared" si="0"/>
        <v>0</v>
      </c>
      <c r="P27" s="84">
        <f t="shared" si="0"/>
        <v>6000</v>
      </c>
    </row>
    <row r="28" spans="1:16" ht="20.45" customHeight="1">
      <c r="A28" s="79">
        <f>'Emp.-Detail'!A23</f>
        <v>15</v>
      </c>
      <c r="B28" s="80" t="str">
        <f>'Emp.-Detail'!B23</f>
        <v>RAJ KUMAR TANWAR</v>
      </c>
      <c r="C28" s="80" t="str">
        <f>'Emp.-Detail'!C23</f>
        <v>Lab. Asist.</v>
      </c>
      <c r="D28" s="81" t="str">
        <f>'Emp.-Detail'!D23</f>
        <v>ACPPT9605F</v>
      </c>
      <c r="E28" s="74">
        <f>'Emp-15'!Q18</f>
        <v>58708</v>
      </c>
      <c r="F28" s="75">
        <f>'Emp-15'!P18</f>
        <v>0</v>
      </c>
      <c r="G28" s="74">
        <f>'Emp-15'!O34</f>
        <v>2000</v>
      </c>
      <c r="H28" s="74">
        <f>'Emp-15'!Q19</f>
        <v>58708</v>
      </c>
      <c r="I28" s="75">
        <f>'Emp-15'!P19</f>
        <v>0</v>
      </c>
      <c r="J28" s="74">
        <f>'Emp-15'!O35</f>
        <v>2000</v>
      </c>
      <c r="K28" s="74">
        <f>'Emp-15'!Q20</f>
        <v>58708</v>
      </c>
      <c r="L28" s="75">
        <f>'Emp-15'!P20</f>
        <v>0</v>
      </c>
      <c r="M28" s="74">
        <f>'Emp-15'!O36</f>
        <v>2000</v>
      </c>
      <c r="N28" s="82">
        <f t="shared" si="0"/>
        <v>176124</v>
      </c>
      <c r="O28" s="90">
        <f t="shared" si="0"/>
        <v>0</v>
      </c>
      <c r="P28" s="84">
        <f t="shared" si="0"/>
        <v>6000</v>
      </c>
    </row>
    <row r="29" spans="1:16" ht="20.45" customHeight="1">
      <c r="A29" s="79">
        <f>'Emp.-Detail'!A24</f>
        <v>16</v>
      </c>
      <c r="B29" s="80" t="str">
        <f>'Emp.-Detail'!B24</f>
        <v>VIJAY KUMAR DENWAL</v>
      </c>
      <c r="C29" s="80" t="str">
        <f>'Emp.-Detail'!C24</f>
        <v>UDC</v>
      </c>
      <c r="D29" s="81" t="str">
        <f>'Emp.-Detail'!D24</f>
        <v>AKPPD4869B</v>
      </c>
      <c r="E29" s="74">
        <f>'Emp-16'!Q18</f>
        <v>40512</v>
      </c>
      <c r="F29" s="75">
        <f>'Emp-16'!P18</f>
        <v>0</v>
      </c>
      <c r="G29" s="74">
        <f>'Emp-16'!O34</f>
        <v>1500</v>
      </c>
      <c r="H29" s="74">
        <f>'Emp-16'!Q19</f>
        <v>40512</v>
      </c>
      <c r="I29" s="75">
        <f>'Emp-16'!P19</f>
        <v>0</v>
      </c>
      <c r="J29" s="74">
        <f>'Emp-16'!O35</f>
        <v>1500</v>
      </c>
      <c r="K29" s="74">
        <f>'Emp-16'!Q20</f>
        <v>40512</v>
      </c>
      <c r="L29" s="75">
        <f>'Emp-16'!P20</f>
        <v>0</v>
      </c>
      <c r="M29" s="74">
        <f>'Emp-16'!O36</f>
        <v>1500</v>
      </c>
      <c r="N29" s="82">
        <f t="shared" si="0"/>
        <v>121536</v>
      </c>
      <c r="O29" s="90">
        <f t="shared" si="0"/>
        <v>0</v>
      </c>
      <c r="P29" s="84">
        <f t="shared" si="0"/>
        <v>4500</v>
      </c>
    </row>
    <row r="30" spans="1:16" ht="20.45" customHeight="1">
      <c r="A30" s="79">
        <f>'Emp.-Detail'!A25</f>
        <v>17</v>
      </c>
      <c r="B30" s="80" t="str">
        <f>'Emp.-Detail'!B25</f>
        <v>DEEP CHAND PRAJAPAT</v>
      </c>
      <c r="C30" s="80" t="str">
        <f>'Emp.-Detail'!C25</f>
        <v>UDC</v>
      </c>
      <c r="D30" s="81" t="str">
        <f>'Emp.-Detail'!D25</f>
        <v>BDRPP3136R</v>
      </c>
      <c r="E30" s="74">
        <f>'Emp-17'!Q18</f>
        <v>37765</v>
      </c>
      <c r="F30" s="75">
        <f>'Emp-17'!P18</f>
        <v>0</v>
      </c>
      <c r="G30" s="74">
        <f>'Emp-17'!O34</f>
        <v>0</v>
      </c>
      <c r="H30" s="74">
        <f>'Emp-17'!Q19</f>
        <v>37765</v>
      </c>
      <c r="I30" s="75">
        <f>'Emp-17'!P19</f>
        <v>0</v>
      </c>
      <c r="J30" s="74">
        <f>'Emp-17'!O35</f>
        <v>0</v>
      </c>
      <c r="K30" s="74">
        <f>'Emp-17'!Q20</f>
        <v>37765</v>
      </c>
      <c r="L30" s="75">
        <f>'Emp-17'!P20</f>
        <v>0</v>
      </c>
      <c r="M30" s="74">
        <f>'Emp-17'!O36</f>
        <v>0</v>
      </c>
      <c r="N30" s="82">
        <f t="shared" si="0"/>
        <v>113295</v>
      </c>
      <c r="O30" s="90">
        <f t="shared" si="0"/>
        <v>0</v>
      </c>
      <c r="P30" s="84">
        <f t="shared" si="0"/>
        <v>0</v>
      </c>
    </row>
    <row r="31" spans="1:16" ht="20.45" customHeight="1">
      <c r="A31" s="79">
        <f>'Emp.-Detail'!A26</f>
        <v>18</v>
      </c>
      <c r="B31" s="80" t="str">
        <f>'Emp.-Detail'!B26</f>
        <v xml:space="preserve">MANGI LAL </v>
      </c>
      <c r="C31" s="80" t="str">
        <f>'Emp.-Detail'!C26</f>
        <v>LDC</v>
      </c>
      <c r="D31" s="81" t="str">
        <f>'Emp.-Detail'!D26</f>
        <v>AMPPD4396D</v>
      </c>
      <c r="E31" s="74">
        <f>'Emp-18'!Q18</f>
        <v>32125</v>
      </c>
      <c r="F31" s="75">
        <f>'Emp-18'!P18</f>
        <v>0</v>
      </c>
      <c r="G31" s="74">
        <f>'Emp-18'!O34</f>
        <v>0</v>
      </c>
      <c r="H31" s="74">
        <f>'Emp-18'!Q19</f>
        <v>32125</v>
      </c>
      <c r="I31" s="75">
        <f>'Emp-18'!P19</f>
        <v>0</v>
      </c>
      <c r="J31" s="74">
        <f>'Emp-18'!O35</f>
        <v>0</v>
      </c>
      <c r="K31" s="74">
        <f>'Emp-18'!Q20</f>
        <v>32125</v>
      </c>
      <c r="L31" s="75">
        <f>'Emp-18'!P20</f>
        <v>0</v>
      </c>
      <c r="M31" s="74">
        <f>'Emp-18'!O36</f>
        <v>0</v>
      </c>
      <c r="N31" s="82">
        <f t="shared" si="0"/>
        <v>96375</v>
      </c>
      <c r="O31" s="90">
        <f t="shared" si="0"/>
        <v>0</v>
      </c>
      <c r="P31" s="84">
        <f t="shared" si="0"/>
        <v>0</v>
      </c>
    </row>
    <row r="32" spans="1:16" ht="20.45" customHeight="1">
      <c r="A32" s="79">
        <f>'Emp.-Detail'!A27</f>
        <v>19</v>
      </c>
      <c r="B32" s="80" t="str">
        <f>'Emp.-Detail'!B27</f>
        <v xml:space="preserve">KAMAL KISHOR RANKAWAT </v>
      </c>
      <c r="C32" s="80" t="str">
        <f>'Emp.-Detail'!C27</f>
        <v>LDC</v>
      </c>
      <c r="D32" s="81" t="str">
        <f>'Emp.-Detail'!D27</f>
        <v>AVUPR4488E</v>
      </c>
      <c r="E32" s="74">
        <f>'Emp-19'!Q18</f>
        <v>25956</v>
      </c>
      <c r="F32" s="75">
        <f>'Emp-19'!P18</f>
        <v>0</v>
      </c>
      <c r="G32" s="74">
        <f>'Emp-19'!O34</f>
        <v>0</v>
      </c>
      <c r="H32" s="74">
        <f>'Emp-19'!Q19</f>
        <v>25956</v>
      </c>
      <c r="I32" s="75">
        <f>'Emp-19'!P19</f>
        <v>0</v>
      </c>
      <c r="J32" s="74">
        <f>'Emp-19'!O35</f>
        <v>0</v>
      </c>
      <c r="K32" s="74">
        <f>'Emp-19'!Q20</f>
        <v>25956</v>
      </c>
      <c r="L32" s="75">
        <f>'Emp-19'!P20</f>
        <v>0</v>
      </c>
      <c r="M32" s="74">
        <f>'Emp-19'!O36</f>
        <v>0</v>
      </c>
      <c r="N32" s="82">
        <f t="shared" ref="N32:P33" si="1">E32+H32+K32</f>
        <v>77868</v>
      </c>
      <c r="O32" s="90">
        <f t="shared" si="1"/>
        <v>0</v>
      </c>
      <c r="P32" s="84">
        <f t="shared" si="1"/>
        <v>0</v>
      </c>
    </row>
    <row r="33" spans="1:19" ht="20.45" customHeight="1">
      <c r="A33" s="79">
        <f>'Emp.-Detail'!A28</f>
        <v>20</v>
      </c>
      <c r="B33" s="80" t="str">
        <f>'Emp.-Detail'!B28</f>
        <v>VINOD KUMAR SHARMA</v>
      </c>
      <c r="C33" s="80" t="str">
        <f>'Emp.-Detail'!C28</f>
        <v>Lab.Boy.</v>
      </c>
      <c r="D33" s="81" t="str">
        <f>'Emp.-Detail'!D28</f>
        <v>CJOPK0625C</v>
      </c>
      <c r="E33" s="74">
        <f>'Emp-20'!Q18</f>
        <v>27161</v>
      </c>
      <c r="F33" s="75">
        <f>'Emp-20'!P18</f>
        <v>0</v>
      </c>
      <c r="G33" s="74">
        <f>'Emp-20'!O34</f>
        <v>0</v>
      </c>
      <c r="H33" s="74">
        <f>'Emp-20'!Q19</f>
        <v>27161</v>
      </c>
      <c r="I33" s="75">
        <f>'Emp-20'!P19</f>
        <v>0</v>
      </c>
      <c r="J33" s="74">
        <f>'Emp-20'!O35</f>
        <v>0</v>
      </c>
      <c r="K33" s="74">
        <f>'Emp-20'!Q20</f>
        <v>27161</v>
      </c>
      <c r="L33" s="75">
        <f>'Emp-20'!P20</f>
        <v>0</v>
      </c>
      <c r="M33" s="74">
        <f>'Emp-20'!O36</f>
        <v>0</v>
      </c>
      <c r="N33" s="82">
        <f t="shared" si="1"/>
        <v>81483</v>
      </c>
      <c r="O33" s="90">
        <f t="shared" si="1"/>
        <v>0</v>
      </c>
      <c r="P33" s="84">
        <f t="shared" si="1"/>
        <v>0</v>
      </c>
    </row>
    <row r="34" spans="1:19" ht="14.1" customHeight="1">
      <c r="A34" s="1284" t="s">
        <v>272</v>
      </c>
      <c r="B34" s="1285"/>
      <c r="C34" s="1285"/>
      <c r="D34" s="1285"/>
      <c r="E34" s="1285"/>
      <c r="F34" s="1285"/>
      <c r="G34" s="1285"/>
      <c r="H34" s="1285"/>
      <c r="I34" s="1285"/>
      <c r="J34" s="1285"/>
      <c r="K34" s="1285"/>
      <c r="L34" s="1285"/>
      <c r="M34" s="1285"/>
      <c r="N34" s="1285"/>
      <c r="O34" s="1285"/>
      <c r="P34" s="1286"/>
    </row>
    <row r="35" spans="1:19" ht="18">
      <c r="A35" s="85" t="s">
        <v>11</v>
      </c>
      <c r="B35" s="86" t="str">
        <f>'DDO '!L8</f>
        <v>LADURAM JAT</v>
      </c>
      <c r="C35" s="780" t="s">
        <v>50</v>
      </c>
      <c r="D35" s="780"/>
      <c r="E35" s="794" t="str">
        <f>'DDO '!L10</f>
        <v>PRINCIPAL</v>
      </c>
      <c r="F35" s="794"/>
      <c r="G35" s="794"/>
      <c r="H35" s="780" t="s">
        <v>275</v>
      </c>
      <c r="I35" s="780"/>
      <c r="J35" s="780"/>
      <c r="K35" s="780"/>
      <c r="L35" s="780"/>
      <c r="M35" s="780"/>
      <c r="N35" s="780"/>
      <c r="O35" s="780"/>
      <c r="P35" s="781"/>
    </row>
    <row r="36" spans="1:19">
      <c r="A36" s="87"/>
      <c r="B36" s="88" t="s">
        <v>273</v>
      </c>
      <c r="C36" s="794" t="str">
        <f>'DDO '!L22</f>
        <v>Govt. PCB Sr. Sec. School, Sujangarh</v>
      </c>
      <c r="D36" s="794"/>
      <c r="E36" s="794"/>
      <c r="F36" s="794"/>
      <c r="G36" s="1295" t="s">
        <v>274</v>
      </c>
      <c r="H36" s="1295"/>
      <c r="I36" s="1295"/>
      <c r="J36" s="1295"/>
      <c r="K36" s="1295"/>
      <c r="L36" s="1295"/>
      <c r="M36" s="1295"/>
      <c r="N36" s="1295"/>
      <c r="O36" s="1295"/>
      <c r="P36" s="1296"/>
    </row>
    <row r="37" spans="1:19" ht="9.9499999999999993" customHeight="1">
      <c r="A37" s="410"/>
      <c r="B37" s="1119"/>
      <c r="C37" s="1119"/>
      <c r="D37" s="1119"/>
      <c r="E37" s="1119"/>
      <c r="F37" s="1119"/>
      <c r="G37" s="1119"/>
      <c r="H37" s="1119"/>
      <c r="I37" s="1119"/>
      <c r="J37" s="1119"/>
      <c r="K37" s="1119"/>
      <c r="L37" s="1119"/>
      <c r="M37" s="1119"/>
      <c r="N37" s="1119"/>
      <c r="O37" s="1119"/>
      <c r="P37" s="411"/>
      <c r="S37" s="22"/>
    </row>
    <row r="38" spans="1:19" ht="9.9499999999999993" customHeight="1">
      <c r="A38" s="410"/>
      <c r="B38" s="1119"/>
      <c r="C38" s="1119"/>
      <c r="D38" s="1119"/>
      <c r="E38" s="1119"/>
      <c r="F38" s="1119"/>
      <c r="G38" s="1119"/>
      <c r="H38" s="1119"/>
      <c r="I38" s="1119"/>
      <c r="J38" s="1119"/>
      <c r="K38" s="1119"/>
      <c r="L38" s="1119"/>
      <c r="M38" s="1119"/>
      <c r="N38" s="1119"/>
      <c r="O38" s="1119"/>
      <c r="P38" s="411"/>
    </row>
    <row r="39" spans="1:19" ht="9.9499999999999993" customHeight="1">
      <c r="A39" s="410"/>
      <c r="B39" s="1119"/>
      <c r="C39" s="1119"/>
      <c r="D39" s="1119"/>
      <c r="E39" s="1119"/>
      <c r="F39" s="1119"/>
      <c r="G39" s="1119"/>
      <c r="H39" s="1119"/>
      <c r="I39" s="1119"/>
      <c r="J39" s="1119"/>
      <c r="K39" s="1119"/>
      <c r="L39" s="1119"/>
      <c r="M39" s="1119"/>
      <c r="N39" s="1119"/>
      <c r="O39" s="1119"/>
      <c r="P39" s="411"/>
    </row>
    <row r="40" spans="1:19" ht="15.75" thickBot="1">
      <c r="A40" s="1274"/>
      <c r="B40" s="1273"/>
      <c r="C40" s="1273"/>
      <c r="D40" s="1273"/>
      <c r="E40" s="1273"/>
      <c r="F40" s="1273" t="s">
        <v>215</v>
      </c>
      <c r="G40" s="1273"/>
      <c r="H40" s="1273"/>
      <c r="I40" s="1273"/>
      <c r="J40" s="1273"/>
      <c r="K40" s="1282" t="s">
        <v>53</v>
      </c>
      <c r="L40" s="1282"/>
      <c r="M40" s="1282"/>
      <c r="N40" s="1282"/>
      <c r="O40" s="1282"/>
      <c r="P40" s="1283"/>
    </row>
    <row r="41" spans="1:19" ht="3.75" customHeight="1"/>
  </sheetData>
  <sheetProtection password="CCB4" sheet="1" objects="1" scenarios="1" selectLockedCells="1"/>
  <mergeCells count="61">
    <mergeCell ref="A37:P39"/>
    <mergeCell ref="A40:E40"/>
    <mergeCell ref="H40:J40"/>
    <mergeCell ref="C36:F36"/>
    <mergeCell ref="F40:G40"/>
    <mergeCell ref="K40:P40"/>
    <mergeCell ref="G36:P36"/>
    <mergeCell ref="L12:L13"/>
    <mergeCell ref="M12:M13"/>
    <mergeCell ref="A34:P34"/>
    <mergeCell ref="A11:A13"/>
    <mergeCell ref="H11:J11"/>
    <mergeCell ref="K11:M11"/>
    <mergeCell ref="B11:B13"/>
    <mergeCell ref="C35:D35"/>
    <mergeCell ref="E35:G35"/>
    <mergeCell ref="H35:P35"/>
    <mergeCell ref="E12:E13"/>
    <mergeCell ref="F12:F13"/>
    <mergeCell ref="G12:G13"/>
    <mergeCell ref="N11:N13"/>
    <mergeCell ref="O11:O13"/>
    <mergeCell ref="P11:P13"/>
    <mergeCell ref="H12:H13"/>
    <mergeCell ref="I12:I13"/>
    <mergeCell ref="C11:C13"/>
    <mergeCell ref="D11:D13"/>
    <mergeCell ref="E11:G11"/>
    <mergeCell ref="J12:J13"/>
    <mergeCell ref="K12:K13"/>
    <mergeCell ref="A9:B9"/>
    <mergeCell ref="C9:G9"/>
    <mergeCell ref="H9:M9"/>
    <mergeCell ref="N9:P9"/>
    <mergeCell ref="A10:P10"/>
    <mergeCell ref="N7:P7"/>
    <mergeCell ref="A8:B8"/>
    <mergeCell ref="C8:D8"/>
    <mergeCell ref="E8:G8"/>
    <mergeCell ref="H8:J8"/>
    <mergeCell ref="K8:M8"/>
    <mergeCell ref="N8:P8"/>
    <mergeCell ref="A7:B7"/>
    <mergeCell ref="C7:D7"/>
    <mergeCell ref="E7:G7"/>
    <mergeCell ref="H7:J7"/>
    <mergeCell ref="K7:M7"/>
    <mergeCell ref="A4:D4"/>
    <mergeCell ref="E4:I4"/>
    <mergeCell ref="J4:P4"/>
    <mergeCell ref="A5:P5"/>
    <mergeCell ref="A6:P6"/>
    <mergeCell ref="A1:B1"/>
    <mergeCell ref="A2:D2"/>
    <mergeCell ref="E2:P2"/>
    <mergeCell ref="A3:B3"/>
    <mergeCell ref="C3:D3"/>
    <mergeCell ref="E3:I3"/>
    <mergeCell ref="J3:M3"/>
    <mergeCell ref="N3:P3"/>
    <mergeCell ref="C1:XFD1"/>
  </mergeCells>
  <hyperlinks>
    <hyperlink ref="A1:B1" location="'I-Tax Master'!A1" tooltip=" " display="Back To Main Menu"/>
  </hyperlinks>
  <pageMargins left="1" right="0" top="0.25" bottom="0.25" header="0" footer="0"/>
  <pageSetup paperSize="9" scale="80" orientation="landscape" verticalDpi="0" r:id="rId1"/>
  <ignoredErrors>
    <ignoredError sqref="A2:P1048576" unlockedFormula="1"/>
  </ignoredErrors>
</worksheet>
</file>

<file path=xl/worksheets/sheet29.xml><?xml version="1.0" encoding="utf-8"?>
<worksheet xmlns="http://schemas.openxmlformats.org/spreadsheetml/2006/main" xmlns:r="http://schemas.openxmlformats.org/officeDocument/2006/relationships">
  <dimension ref="A1:U43"/>
  <sheetViews>
    <sheetView workbookViewId="0">
      <selection sqref="A1:B1"/>
    </sheetView>
  </sheetViews>
  <sheetFormatPr defaultColWidth="0" defaultRowHeight="15" zeroHeight="1"/>
  <cols>
    <col min="1" max="1" width="3.85546875" style="50" customWidth="1"/>
    <col min="2" max="2" width="27.28515625" style="50" customWidth="1"/>
    <col min="3" max="3" width="13" style="50" customWidth="1"/>
    <col min="4" max="4" width="13.28515625" style="50" customWidth="1"/>
    <col min="5" max="5" width="8.140625" style="50" customWidth="1"/>
    <col min="6" max="6" width="6.5703125" style="50" customWidth="1"/>
    <col min="7" max="7" width="6.85546875" style="50" customWidth="1"/>
    <col min="8" max="8" width="7.85546875" style="50" customWidth="1"/>
    <col min="9" max="9" width="6.5703125" style="50" customWidth="1"/>
    <col min="10" max="10" width="7" style="50" customWidth="1"/>
    <col min="11" max="11" width="8.140625" style="50" customWidth="1"/>
    <col min="12" max="12" width="6.5703125" style="50" customWidth="1"/>
    <col min="13" max="13" width="6.7109375" style="50" customWidth="1"/>
    <col min="14" max="14" width="8" style="50" customWidth="1"/>
    <col min="15" max="15" width="6.5703125" style="50" customWidth="1"/>
    <col min="16" max="16" width="6.7109375" style="50" customWidth="1"/>
    <col min="17" max="17" width="9" style="50" customWidth="1"/>
    <col min="18" max="18" width="6.85546875" style="50" customWidth="1"/>
    <col min="19" max="19" width="8.42578125" style="50" customWidth="1"/>
    <col min="20" max="20" width="0.85546875" style="50" customWidth="1"/>
    <col min="21" max="21" width="0" style="50" hidden="1" customWidth="1"/>
    <col min="22" max="16384" width="9.140625" style="50" hidden="1"/>
  </cols>
  <sheetData>
    <row r="1" spans="1:19" s="1172" customFormat="1" ht="15.75" customHeight="1" thickBot="1">
      <c r="A1" s="1305" t="s">
        <v>403</v>
      </c>
      <c r="B1" s="1305"/>
    </row>
    <row r="2" spans="1:19" ht="20.100000000000001" customHeight="1">
      <c r="A2" s="1334" t="str">
        <f>'DDO '!A2</f>
        <v xml:space="preserve">Office Name:- </v>
      </c>
      <c r="B2" s="1335"/>
      <c r="C2" s="1335"/>
      <c r="D2" s="1336"/>
      <c r="E2" s="1337" t="str">
        <f>'DDO '!B2</f>
        <v>GOVT.SEC.SCHOOL DEWANI</v>
      </c>
      <c r="F2" s="1338"/>
      <c r="G2" s="1338"/>
      <c r="H2" s="1338"/>
      <c r="I2" s="1338"/>
      <c r="J2" s="1338"/>
      <c r="K2" s="1338"/>
      <c r="L2" s="1335"/>
      <c r="M2" s="1335"/>
      <c r="N2" s="1335"/>
      <c r="O2" s="1335"/>
      <c r="P2" s="1335"/>
      <c r="Q2" s="1335"/>
      <c r="R2" s="1335"/>
      <c r="S2" s="1339"/>
    </row>
    <row r="3" spans="1:19" s="95" customFormat="1" ht="18" customHeight="1">
      <c r="A3" s="1030" t="str">
        <f>'DDO '!A3</f>
        <v xml:space="preserve">Financial Year :- </v>
      </c>
      <c r="B3" s="1031"/>
      <c r="C3" s="1031" t="str">
        <f>'DDO '!B3</f>
        <v>2016-17</v>
      </c>
      <c r="D3" s="1031"/>
      <c r="E3" s="1343" t="str">
        <f>'Q-IV'!E3:I3</f>
        <v>Quarterly Return - 24Q &amp; 26Q</v>
      </c>
      <c r="F3" s="1343"/>
      <c r="G3" s="1343"/>
      <c r="H3" s="1343"/>
      <c r="I3" s="1343"/>
      <c r="J3" s="1343"/>
      <c r="K3" s="1343"/>
      <c r="L3" s="1031" t="str">
        <f>'DDO '!F3</f>
        <v>Assessment Year :-</v>
      </c>
      <c r="M3" s="1031"/>
      <c r="N3" s="1031"/>
      <c r="O3" s="1031"/>
      <c r="P3" s="1031"/>
      <c r="Q3" s="1031" t="str">
        <f>'DDO '!G3</f>
        <v>2017-18</v>
      </c>
      <c r="R3" s="1031"/>
      <c r="S3" s="1307"/>
    </row>
    <row r="4" spans="1:19" s="95" customFormat="1" ht="18" customHeight="1">
      <c r="A4" s="1340"/>
      <c r="B4" s="1341"/>
      <c r="C4" s="1341"/>
      <c r="D4" s="1342"/>
      <c r="E4" s="1031" t="str">
        <f>'Q-IV'!E4:I4</f>
        <v>( See Section 1992 and Rule 31A )</v>
      </c>
      <c r="F4" s="1031"/>
      <c r="G4" s="1031"/>
      <c r="H4" s="1031"/>
      <c r="I4" s="1031"/>
      <c r="J4" s="1031"/>
      <c r="K4" s="1031"/>
      <c r="L4" s="1344"/>
      <c r="M4" s="1341"/>
      <c r="N4" s="1341"/>
      <c r="O4" s="1341"/>
      <c r="P4" s="1341"/>
      <c r="Q4" s="1341"/>
      <c r="R4" s="1341"/>
      <c r="S4" s="1345"/>
    </row>
    <row r="5" spans="1:19" s="95" customFormat="1" ht="18" customHeight="1">
      <c r="A5" s="891" t="s">
        <v>339</v>
      </c>
      <c r="B5" s="780"/>
      <c r="C5" s="780"/>
      <c r="D5" s="780"/>
      <c r="E5" s="780"/>
      <c r="F5" s="780"/>
      <c r="G5" s="780"/>
      <c r="H5" s="780"/>
      <c r="I5" s="780"/>
      <c r="J5" s="780"/>
      <c r="K5" s="780"/>
      <c r="L5" s="780"/>
      <c r="M5" s="780"/>
      <c r="N5" s="780"/>
      <c r="O5" s="780"/>
      <c r="P5" s="780"/>
      <c r="Q5" s="780"/>
      <c r="R5" s="780"/>
      <c r="S5" s="781"/>
    </row>
    <row r="6" spans="1:19" s="95" customFormat="1" ht="15" customHeight="1">
      <c r="A6" s="1328" t="s">
        <v>335</v>
      </c>
      <c r="B6" s="1329"/>
      <c r="C6" s="1329"/>
      <c r="D6" s="1329"/>
      <c r="E6" s="1329"/>
      <c r="F6" s="1329"/>
      <c r="G6" s="1329"/>
      <c r="H6" s="1329"/>
      <c r="I6" s="1329"/>
      <c r="J6" s="1329"/>
      <c r="K6" s="1329"/>
      <c r="L6" s="1329"/>
      <c r="M6" s="1329"/>
      <c r="N6" s="1329"/>
      <c r="O6" s="1329"/>
      <c r="P6" s="1329"/>
      <c r="Q6" s="1329"/>
      <c r="R6" s="1329"/>
      <c r="S6" s="1330"/>
    </row>
    <row r="7" spans="1:19" s="95" customFormat="1" ht="18" customHeight="1">
      <c r="A7" s="1030" t="str">
        <f>'DDO '!A8</f>
        <v>Name of Deducter :-</v>
      </c>
      <c r="B7" s="1031"/>
      <c r="C7" s="1031" t="str">
        <f>'DDO '!L8</f>
        <v>LADURAM JAT</v>
      </c>
      <c r="D7" s="1031"/>
      <c r="E7" s="1031"/>
      <c r="F7" s="1031" t="str">
        <f>'DDO '!A10</f>
        <v>Designation of Deducter :-</v>
      </c>
      <c r="G7" s="1031"/>
      <c r="H7" s="1031"/>
      <c r="I7" s="1031"/>
      <c r="J7" s="1031" t="str">
        <f>'DDO '!L10</f>
        <v>PRINCIPAL</v>
      </c>
      <c r="K7" s="1031"/>
      <c r="L7" s="1031"/>
      <c r="M7" s="1031" t="str">
        <f>'DDO '!A11</f>
        <v>PAN No.  of  Deducter :-</v>
      </c>
      <c r="N7" s="1031"/>
      <c r="O7" s="1031"/>
      <c r="P7" s="1031"/>
      <c r="Q7" s="1031" t="str">
        <f>'DDO '!L11</f>
        <v>ABXPJ6624R</v>
      </c>
      <c r="R7" s="1031"/>
      <c r="S7" s="1307"/>
    </row>
    <row r="8" spans="1:19" s="95" customFormat="1" ht="18" customHeight="1">
      <c r="A8" s="1030" t="str">
        <f>'DDO '!A9</f>
        <v>Father`s Name of Deducter :-</v>
      </c>
      <c r="B8" s="1031"/>
      <c r="C8" s="1031" t="str">
        <f>'DDO '!L9</f>
        <v>SH. DHANA RAM</v>
      </c>
      <c r="D8" s="1031"/>
      <c r="E8" s="1031"/>
      <c r="F8" s="1031" t="str">
        <f>'DDO '!A16</f>
        <v>Mobile no. of Deducter :-</v>
      </c>
      <c r="G8" s="1031"/>
      <c r="H8" s="1031"/>
      <c r="I8" s="1031"/>
      <c r="J8" s="1031" t="str">
        <f>'DDO '!L16</f>
        <v>09461110977</v>
      </c>
      <c r="K8" s="1031"/>
      <c r="L8" s="1031"/>
      <c r="M8" s="1031" t="str">
        <f>'DDO '!A13</f>
        <v>TAN  No. of  Office :-</v>
      </c>
      <c r="N8" s="1031"/>
      <c r="O8" s="1031"/>
      <c r="P8" s="1031"/>
      <c r="Q8" s="1031" t="str">
        <f>'DDO '!L13</f>
        <v>JPRG04123A</v>
      </c>
      <c r="R8" s="1031"/>
      <c r="S8" s="1307"/>
    </row>
    <row r="9" spans="1:19" s="95" customFormat="1" ht="18" customHeight="1">
      <c r="A9" s="1355"/>
      <c r="B9" s="1356"/>
      <c r="C9" s="1356"/>
      <c r="D9" s="1031" t="str">
        <f>'DDO '!A14</f>
        <v>E-mail ID of Office :-</v>
      </c>
      <c r="E9" s="1031"/>
      <c r="F9" s="1031"/>
      <c r="G9" s="1031"/>
      <c r="H9" s="874"/>
      <c r="I9" s="1311" t="str">
        <f>'DDO '!L14</f>
        <v>pcbsugh@yahoo.in</v>
      </c>
      <c r="J9" s="1346"/>
      <c r="K9" s="1346"/>
      <c r="L9" s="1346"/>
      <c r="M9" s="1346"/>
      <c r="N9" s="1346"/>
      <c r="O9" s="1356"/>
      <c r="P9" s="1356"/>
      <c r="Q9" s="1356"/>
      <c r="R9" s="1356"/>
      <c r="S9" s="1357"/>
    </row>
    <row r="10" spans="1:19" ht="15.75" thickBot="1">
      <c r="A10" s="1347"/>
      <c r="B10" s="1348"/>
      <c r="C10" s="1348"/>
      <c r="D10" s="1348"/>
      <c r="E10" s="1348"/>
      <c r="F10" s="1348"/>
      <c r="G10" s="1348"/>
      <c r="H10" s="1348"/>
      <c r="I10" s="1348"/>
      <c r="J10" s="1348"/>
      <c r="K10" s="1348"/>
      <c r="L10" s="1348"/>
      <c r="M10" s="1348"/>
      <c r="N10" s="1348"/>
      <c r="O10" s="1348"/>
      <c r="P10" s="1348"/>
      <c r="Q10" s="1348"/>
      <c r="R10" s="1348"/>
      <c r="S10" s="1349"/>
    </row>
    <row r="11" spans="1:19" ht="15" customHeight="1">
      <c r="A11" s="1322" t="s">
        <v>208</v>
      </c>
      <c r="B11" s="1325" t="s">
        <v>209</v>
      </c>
      <c r="C11" s="1325" t="s">
        <v>214</v>
      </c>
      <c r="D11" s="1325" t="s">
        <v>213</v>
      </c>
      <c r="E11" s="1268" t="s">
        <v>330</v>
      </c>
      <c r="F11" s="1268"/>
      <c r="G11" s="1268"/>
      <c r="H11" s="1268" t="s">
        <v>331</v>
      </c>
      <c r="I11" s="1268"/>
      <c r="J11" s="1268"/>
      <c r="K11" s="1268" t="s">
        <v>332</v>
      </c>
      <c r="L11" s="1268"/>
      <c r="M11" s="1268"/>
      <c r="N11" s="1268" t="s">
        <v>333</v>
      </c>
      <c r="O11" s="1268"/>
      <c r="P11" s="1268"/>
      <c r="Q11" s="1262" t="s">
        <v>334</v>
      </c>
      <c r="R11" s="1350" t="s">
        <v>267</v>
      </c>
      <c r="S11" s="1331" t="s">
        <v>265</v>
      </c>
    </row>
    <row r="12" spans="1:19">
      <c r="A12" s="1323"/>
      <c r="B12" s="1326"/>
      <c r="C12" s="1326"/>
      <c r="D12" s="1326"/>
      <c r="E12" s="1302" t="s">
        <v>266</v>
      </c>
      <c r="F12" s="1287" t="s">
        <v>263</v>
      </c>
      <c r="G12" s="1302" t="s">
        <v>264</v>
      </c>
      <c r="H12" s="1302" t="s">
        <v>266</v>
      </c>
      <c r="I12" s="1287" t="s">
        <v>263</v>
      </c>
      <c r="J12" s="1302" t="s">
        <v>264</v>
      </c>
      <c r="K12" s="1302" t="s">
        <v>266</v>
      </c>
      <c r="L12" s="1287" t="s">
        <v>263</v>
      </c>
      <c r="M12" s="1302" t="s">
        <v>264</v>
      </c>
      <c r="N12" s="1302" t="s">
        <v>266</v>
      </c>
      <c r="O12" s="1287" t="s">
        <v>263</v>
      </c>
      <c r="P12" s="1302" t="s">
        <v>264</v>
      </c>
      <c r="Q12" s="1263"/>
      <c r="R12" s="1351"/>
      <c r="S12" s="1332"/>
    </row>
    <row r="13" spans="1:19" ht="15.75" thickBot="1">
      <c r="A13" s="1324"/>
      <c r="B13" s="1327"/>
      <c r="C13" s="1327"/>
      <c r="D13" s="1327"/>
      <c r="E13" s="1303"/>
      <c r="F13" s="1288"/>
      <c r="G13" s="1303"/>
      <c r="H13" s="1303"/>
      <c r="I13" s="1288"/>
      <c r="J13" s="1303"/>
      <c r="K13" s="1303"/>
      <c r="L13" s="1288"/>
      <c r="M13" s="1303"/>
      <c r="N13" s="1303"/>
      <c r="O13" s="1288"/>
      <c r="P13" s="1303"/>
      <c r="Q13" s="1264"/>
      <c r="R13" s="1352"/>
      <c r="S13" s="1333"/>
    </row>
    <row r="14" spans="1:19" ht="20.100000000000001" customHeight="1">
      <c r="A14" s="97">
        <f>'Emp.-Detail'!A9</f>
        <v>1</v>
      </c>
      <c r="B14" s="98" t="str">
        <f>'Emp.-Detail'!B9</f>
        <v>MADAN LAL PILANIYA</v>
      </c>
      <c r="C14" s="98" t="str">
        <f>'Emp.-Detail'!C9</f>
        <v>HEADMASTER</v>
      </c>
      <c r="D14" s="99" t="str">
        <f>'Emp.-Detail'!D9</f>
        <v>AQPPP7545Q</v>
      </c>
      <c r="E14" s="100">
        <f>'Q-I'!N14</f>
        <v>218134</v>
      </c>
      <c r="F14" s="75">
        <f>'Q-I'!O14</f>
        <v>0</v>
      </c>
      <c r="G14" s="100">
        <f>'Q-I'!P14</f>
        <v>3000</v>
      </c>
      <c r="H14" s="100">
        <f>'Q-II'!N14</f>
        <v>151012</v>
      </c>
      <c r="I14" s="75">
        <f>'Q-II'!O14</f>
        <v>0</v>
      </c>
      <c r="J14" s="100">
        <f>'Q-II'!P14</f>
        <v>3000</v>
      </c>
      <c r="K14" s="100">
        <f>'Q-III'!N14</f>
        <v>155087</v>
      </c>
      <c r="L14" s="75">
        <f>'Q-III'!O14</f>
        <v>0</v>
      </c>
      <c r="M14" s="100">
        <f>'Q-III'!P14</f>
        <v>6000</v>
      </c>
      <c r="N14" s="100">
        <f>'Q-IV'!N14</f>
        <v>156384</v>
      </c>
      <c r="O14" s="75">
        <f>'Q-IV'!O14</f>
        <v>0</v>
      </c>
      <c r="P14" s="100">
        <f>'Q-IV'!P14</f>
        <v>6000</v>
      </c>
      <c r="Q14" s="77">
        <f>E14+H14+K14+N14</f>
        <v>680617</v>
      </c>
      <c r="R14" s="89">
        <f>F14+I14+L14+O14</f>
        <v>0</v>
      </c>
      <c r="S14" s="101">
        <f>G14+J14+M14+P14</f>
        <v>18000</v>
      </c>
    </row>
    <row r="15" spans="1:19" ht="20.100000000000001" customHeight="1">
      <c r="A15" s="102">
        <f>'Emp.-Detail'!A10</f>
        <v>2</v>
      </c>
      <c r="B15" s="103" t="str">
        <f>'Emp.-Detail'!B10</f>
        <v>JAGADISH PRASAD CHOUHAN</v>
      </c>
      <c r="C15" s="103" t="str">
        <f>'Emp.-Detail'!C10</f>
        <v>Lecturer</v>
      </c>
      <c r="D15" s="104" t="str">
        <f>'Emp.-Detail'!D10</f>
        <v>ABPPC0835K</v>
      </c>
      <c r="E15" s="105">
        <f>'Q-I'!N15</f>
        <v>181115</v>
      </c>
      <c r="F15" s="106">
        <f>'Q-I'!O15</f>
        <v>0</v>
      </c>
      <c r="G15" s="105">
        <f>'Q-I'!P15</f>
        <v>10500</v>
      </c>
      <c r="H15" s="105">
        <f>'Q-II'!N15</f>
        <v>186338</v>
      </c>
      <c r="I15" s="106">
        <f>'Q-II'!O15</f>
        <v>0</v>
      </c>
      <c r="J15" s="105">
        <f>'Q-II'!P15</f>
        <v>10500</v>
      </c>
      <c r="K15" s="105">
        <f>'Q-III'!N15</f>
        <v>186563</v>
      </c>
      <c r="L15" s="106">
        <f>'Q-III'!O15</f>
        <v>0</v>
      </c>
      <c r="M15" s="105">
        <f>'Q-III'!P15</f>
        <v>10500</v>
      </c>
      <c r="N15" s="105">
        <f>'Q-IV'!N15</f>
        <v>188124</v>
      </c>
      <c r="O15" s="106">
        <f>'Q-IV'!O15</f>
        <v>0</v>
      </c>
      <c r="P15" s="105">
        <f>'Q-IV'!P15</f>
        <v>10500</v>
      </c>
      <c r="Q15" s="83">
        <f t="shared" ref="Q15:Q33" si="0">E15+H15+K15+N15</f>
        <v>742140</v>
      </c>
      <c r="R15" s="90">
        <f t="shared" ref="R15:R33" si="1">F15+I15+L15+O15</f>
        <v>0</v>
      </c>
      <c r="S15" s="107">
        <f t="shared" ref="S15:S33" si="2">G15+J15+M15+P15</f>
        <v>42000</v>
      </c>
    </row>
    <row r="16" spans="1:19" ht="20.100000000000001" customHeight="1">
      <c r="A16" s="102">
        <f>'Emp.-Detail'!A11</f>
        <v>3</v>
      </c>
      <c r="B16" s="103" t="str">
        <f>'Emp.-Detail'!B11</f>
        <v>RAM PRASHAD SHARMA</v>
      </c>
      <c r="C16" s="103" t="str">
        <f>'Emp.-Detail'!C11</f>
        <v>Lecturer</v>
      </c>
      <c r="D16" s="104" t="str">
        <f>'Emp.-Detail'!D11</f>
        <v>AGDPS0116J</v>
      </c>
      <c r="E16" s="105">
        <f>'Q-I'!N16</f>
        <v>205385</v>
      </c>
      <c r="F16" s="106">
        <f>'Q-I'!O16</f>
        <v>0</v>
      </c>
      <c r="G16" s="105">
        <f>'Q-I'!P16</f>
        <v>6000</v>
      </c>
      <c r="H16" s="105">
        <f>'Q-II'!N16</f>
        <v>182677</v>
      </c>
      <c r="I16" s="106">
        <f>'Q-II'!O16</f>
        <v>0</v>
      </c>
      <c r="J16" s="105">
        <f>'Q-II'!P16</f>
        <v>6000</v>
      </c>
      <c r="K16" s="105">
        <f>'Q-III'!N16</f>
        <v>182907</v>
      </c>
      <c r="L16" s="106">
        <f>'Q-III'!O16</f>
        <v>0</v>
      </c>
      <c r="M16" s="105">
        <f>'Q-III'!P16</f>
        <v>6000</v>
      </c>
      <c r="N16" s="105">
        <f>'Q-IV'!N16</f>
        <v>184437</v>
      </c>
      <c r="O16" s="106">
        <f>'Q-IV'!O16</f>
        <v>0</v>
      </c>
      <c r="P16" s="105">
        <f>'Q-IV'!P16</f>
        <v>6000</v>
      </c>
      <c r="Q16" s="83">
        <f t="shared" si="0"/>
        <v>755406</v>
      </c>
      <c r="R16" s="90">
        <f t="shared" si="1"/>
        <v>0</v>
      </c>
      <c r="S16" s="107">
        <f t="shared" si="2"/>
        <v>24000</v>
      </c>
    </row>
    <row r="17" spans="1:19" ht="20.100000000000001" customHeight="1">
      <c r="A17" s="102">
        <f>'Emp.-Detail'!A12</f>
        <v>4</v>
      </c>
      <c r="B17" s="103" t="str">
        <f>'Emp.-Detail'!B12</f>
        <v>BHAGIRATH GURDA</v>
      </c>
      <c r="C17" s="103" t="str">
        <f>'Emp.-Detail'!C12</f>
        <v>Lecturer</v>
      </c>
      <c r="D17" s="104" t="str">
        <f>'Emp.-Detail'!D12</f>
        <v>ADZPG8777C</v>
      </c>
      <c r="E17" s="105">
        <f>'Q-I'!N17</f>
        <v>194041</v>
      </c>
      <c r="F17" s="106">
        <f>'Q-I'!O17</f>
        <v>0</v>
      </c>
      <c r="G17" s="105">
        <f>'Q-I'!P17</f>
        <v>7000</v>
      </c>
      <c r="H17" s="105">
        <f>'Q-II'!N17</f>
        <v>175299</v>
      </c>
      <c r="I17" s="106">
        <f>'Q-II'!O17</f>
        <v>0</v>
      </c>
      <c r="J17" s="105">
        <f>'Q-II'!P17</f>
        <v>9000</v>
      </c>
      <c r="K17" s="105">
        <f>'Q-III'!N17</f>
        <v>175522</v>
      </c>
      <c r="L17" s="106">
        <f>'Q-III'!O17</f>
        <v>0</v>
      </c>
      <c r="M17" s="105">
        <f>'Q-III'!P17</f>
        <v>9000</v>
      </c>
      <c r="N17" s="105">
        <f>'Q-IV'!N17</f>
        <v>176991</v>
      </c>
      <c r="O17" s="106">
        <f>'Q-IV'!O17</f>
        <v>0</v>
      </c>
      <c r="P17" s="105">
        <f>'Q-IV'!P17</f>
        <v>9000</v>
      </c>
      <c r="Q17" s="83">
        <f t="shared" si="0"/>
        <v>721853</v>
      </c>
      <c r="R17" s="90">
        <f t="shared" si="1"/>
        <v>0</v>
      </c>
      <c r="S17" s="107">
        <f t="shared" si="2"/>
        <v>34000</v>
      </c>
    </row>
    <row r="18" spans="1:19" ht="20.100000000000001" customHeight="1">
      <c r="A18" s="102">
        <f>'Emp.-Detail'!A13</f>
        <v>5</v>
      </c>
      <c r="B18" s="103" t="str">
        <f>'Emp.-Detail'!B13</f>
        <v xml:space="preserve">DEVKRAN SINGH </v>
      </c>
      <c r="C18" s="103" t="str">
        <f>'Emp.-Detail'!C13</f>
        <v>Lecturer</v>
      </c>
      <c r="D18" s="104" t="str">
        <f>'Emp.-Detail'!D13</f>
        <v>AMCPS4395J</v>
      </c>
      <c r="E18" s="105">
        <f>'Q-I'!N18</f>
        <v>197090</v>
      </c>
      <c r="F18" s="106">
        <f>'Q-I'!O18</f>
        <v>0</v>
      </c>
      <c r="G18" s="105">
        <f>'Q-I'!P18</f>
        <v>8600</v>
      </c>
      <c r="H18" s="105">
        <f>'Q-II'!N18</f>
        <v>175299</v>
      </c>
      <c r="I18" s="106">
        <f>'Q-II'!O18</f>
        <v>0</v>
      </c>
      <c r="J18" s="105">
        <f>'Q-II'!P18</f>
        <v>9000</v>
      </c>
      <c r="K18" s="105">
        <f>'Q-III'!N18</f>
        <v>175522</v>
      </c>
      <c r="L18" s="106">
        <f>'Q-III'!O18</f>
        <v>0</v>
      </c>
      <c r="M18" s="105">
        <f>'Q-III'!P18</f>
        <v>9000</v>
      </c>
      <c r="N18" s="105">
        <f>'Q-IV'!N18</f>
        <v>176991</v>
      </c>
      <c r="O18" s="106">
        <f>'Q-IV'!O18</f>
        <v>0</v>
      </c>
      <c r="P18" s="105">
        <f>'Q-IV'!P18</f>
        <v>9000</v>
      </c>
      <c r="Q18" s="83">
        <f t="shared" si="0"/>
        <v>724902</v>
      </c>
      <c r="R18" s="90">
        <f t="shared" si="1"/>
        <v>0</v>
      </c>
      <c r="S18" s="107">
        <f t="shared" si="2"/>
        <v>35600</v>
      </c>
    </row>
    <row r="19" spans="1:19" ht="20.100000000000001" customHeight="1">
      <c r="A19" s="102">
        <f>'Emp.-Detail'!A14</f>
        <v>6</v>
      </c>
      <c r="B19" s="103" t="str">
        <f>'Emp.-Detail'!B14</f>
        <v xml:space="preserve">CHANDAR KALA </v>
      </c>
      <c r="C19" s="103" t="str">
        <f>'Emp.-Detail'!C14</f>
        <v>Lecturer</v>
      </c>
      <c r="D19" s="104" t="str">
        <f>'Emp.-Detail'!D14</f>
        <v>ACNPV0041M</v>
      </c>
      <c r="E19" s="105">
        <f>'Q-I'!N19</f>
        <v>166989</v>
      </c>
      <c r="F19" s="106">
        <f>'Q-I'!O19</f>
        <v>0</v>
      </c>
      <c r="G19" s="105">
        <f>'Q-I'!P19</f>
        <v>6000</v>
      </c>
      <c r="H19" s="105">
        <f>'Q-II'!N19</f>
        <v>171803</v>
      </c>
      <c r="I19" s="106">
        <f>'Q-II'!O19</f>
        <v>0</v>
      </c>
      <c r="J19" s="105">
        <f>'Q-II'!P19</f>
        <v>6000</v>
      </c>
      <c r="K19" s="105">
        <f>'Q-III'!N19</f>
        <v>172009</v>
      </c>
      <c r="L19" s="106">
        <f>'Q-III'!O19</f>
        <v>0</v>
      </c>
      <c r="M19" s="105">
        <f>'Q-III'!P19</f>
        <v>6000</v>
      </c>
      <c r="N19" s="105">
        <f>'Q-IV'!N19</f>
        <v>173448</v>
      </c>
      <c r="O19" s="106">
        <f>'Q-IV'!O19</f>
        <v>0</v>
      </c>
      <c r="P19" s="105">
        <f>'Q-IV'!P19</f>
        <v>6000</v>
      </c>
      <c r="Q19" s="83">
        <f t="shared" si="0"/>
        <v>684249</v>
      </c>
      <c r="R19" s="90">
        <f t="shared" si="1"/>
        <v>0</v>
      </c>
      <c r="S19" s="107">
        <f t="shared" si="2"/>
        <v>24000</v>
      </c>
    </row>
    <row r="20" spans="1:19" ht="20.100000000000001" customHeight="1">
      <c r="A20" s="102">
        <f>'Emp.-Detail'!A15</f>
        <v>7</v>
      </c>
      <c r="B20" s="103" t="str">
        <f>'Emp.-Detail'!B15</f>
        <v>BHOMA RAM MEENA</v>
      </c>
      <c r="C20" s="103" t="str">
        <f>'Emp.-Detail'!C15</f>
        <v>Lecturer</v>
      </c>
      <c r="D20" s="104" t="str">
        <f>'Emp.-Detail'!D15</f>
        <v>ACLPM3827E</v>
      </c>
      <c r="E20" s="105">
        <f>'Q-I'!N20</f>
        <v>150930</v>
      </c>
      <c r="F20" s="106">
        <f>'Q-I'!O20</f>
        <v>0</v>
      </c>
      <c r="G20" s="105">
        <f>'Q-I'!P20</f>
        <v>6000</v>
      </c>
      <c r="H20" s="105">
        <f>'Q-II'!N20</f>
        <v>155315</v>
      </c>
      <c r="I20" s="106">
        <f>'Q-II'!O20</f>
        <v>0</v>
      </c>
      <c r="J20" s="105">
        <f>'Q-II'!P20</f>
        <v>6000</v>
      </c>
      <c r="K20" s="105">
        <f>'Q-III'!N20</f>
        <v>155518</v>
      </c>
      <c r="L20" s="106">
        <f>'Q-III'!O20</f>
        <v>0</v>
      </c>
      <c r="M20" s="105">
        <f>'Q-III'!P20</f>
        <v>6000</v>
      </c>
      <c r="N20" s="105">
        <f>'Q-IV'!N20</f>
        <v>156819</v>
      </c>
      <c r="O20" s="106">
        <f>'Q-IV'!O20</f>
        <v>0</v>
      </c>
      <c r="P20" s="105">
        <f>'Q-IV'!P20</f>
        <v>6000</v>
      </c>
      <c r="Q20" s="83">
        <f t="shared" si="0"/>
        <v>618582</v>
      </c>
      <c r="R20" s="90">
        <f t="shared" si="1"/>
        <v>0</v>
      </c>
      <c r="S20" s="107">
        <f t="shared" si="2"/>
        <v>24000</v>
      </c>
    </row>
    <row r="21" spans="1:19" ht="20.100000000000001" customHeight="1">
      <c r="A21" s="102">
        <f>'Emp.-Detail'!A16</f>
        <v>8</v>
      </c>
      <c r="B21" s="103" t="str">
        <f>'Emp.-Detail'!B16</f>
        <v>VIJAY CHOUDHARY</v>
      </c>
      <c r="C21" s="103" t="str">
        <f>'Emp.-Detail'!C16</f>
        <v>Lecturer</v>
      </c>
      <c r="D21" s="104" t="str">
        <f>'Emp.-Detail'!D16</f>
        <v>AHMPC9320N</v>
      </c>
      <c r="E21" s="105">
        <f>'Q-I'!N21</f>
        <v>171707</v>
      </c>
      <c r="F21" s="106">
        <f>'Q-I'!O21</f>
        <v>0</v>
      </c>
      <c r="G21" s="105">
        <f>'Q-I'!P21</f>
        <v>6000</v>
      </c>
      <c r="H21" s="105">
        <f>'Q-II'!N21</f>
        <v>152737</v>
      </c>
      <c r="I21" s="106">
        <f>'Q-II'!O21</f>
        <v>0</v>
      </c>
      <c r="J21" s="105">
        <f>'Q-II'!P21</f>
        <v>6000</v>
      </c>
      <c r="K21" s="105">
        <f>'Q-III'!N21</f>
        <v>152936</v>
      </c>
      <c r="L21" s="106">
        <f>'Q-III'!O21</f>
        <v>0</v>
      </c>
      <c r="M21" s="105">
        <f>'Q-III'!P21</f>
        <v>6000</v>
      </c>
      <c r="N21" s="105">
        <f>'Q-IV'!N21</f>
        <v>154215</v>
      </c>
      <c r="O21" s="106">
        <f>'Q-IV'!O21</f>
        <v>0</v>
      </c>
      <c r="P21" s="105">
        <f>'Q-IV'!P21</f>
        <v>6000</v>
      </c>
      <c r="Q21" s="83">
        <f t="shared" si="0"/>
        <v>631595</v>
      </c>
      <c r="R21" s="90">
        <f t="shared" si="1"/>
        <v>0</v>
      </c>
      <c r="S21" s="107">
        <f t="shared" si="2"/>
        <v>24000</v>
      </c>
    </row>
    <row r="22" spans="1:19" ht="20.100000000000001" customHeight="1">
      <c r="A22" s="102">
        <f>'Emp.-Detail'!A17</f>
        <v>9</v>
      </c>
      <c r="B22" s="103" t="str">
        <f>'Emp.-Detail'!B17</f>
        <v xml:space="preserve">KAMALESH KUMAR </v>
      </c>
      <c r="C22" s="103" t="str">
        <f>'Emp.-Detail'!C17</f>
        <v>Lecturer</v>
      </c>
      <c r="D22" s="104" t="str">
        <f>'Emp.-Detail'!D17</f>
        <v>DLLPK8818M</v>
      </c>
      <c r="E22" s="105">
        <f>'Q-I'!N22</f>
        <v>165071</v>
      </c>
      <c r="F22" s="106">
        <f>'Q-I'!O22</f>
        <v>0</v>
      </c>
      <c r="G22" s="105">
        <f>'Q-I'!P22</f>
        <v>6000</v>
      </c>
      <c r="H22" s="105">
        <f>'Q-II'!N22</f>
        <v>146805</v>
      </c>
      <c r="I22" s="106">
        <f>'Q-II'!O22</f>
        <v>0</v>
      </c>
      <c r="J22" s="105">
        <f>'Q-II'!P22</f>
        <v>6000</v>
      </c>
      <c r="K22" s="105">
        <f>'Q-III'!N22</f>
        <v>146985</v>
      </c>
      <c r="L22" s="106">
        <f>'Q-III'!O22</f>
        <v>0</v>
      </c>
      <c r="M22" s="105">
        <f>'Q-III'!P22</f>
        <v>6000</v>
      </c>
      <c r="N22" s="105">
        <f>'Q-IV'!N22</f>
        <v>150215</v>
      </c>
      <c r="O22" s="106">
        <f>'Q-IV'!O22</f>
        <v>0</v>
      </c>
      <c r="P22" s="105">
        <f>'Q-IV'!P22</f>
        <v>6000</v>
      </c>
      <c r="Q22" s="83">
        <f t="shared" si="0"/>
        <v>609076</v>
      </c>
      <c r="R22" s="90">
        <f t="shared" si="1"/>
        <v>0</v>
      </c>
      <c r="S22" s="107">
        <f t="shared" si="2"/>
        <v>24000</v>
      </c>
    </row>
    <row r="23" spans="1:19" ht="20.100000000000001" customHeight="1">
      <c r="A23" s="102">
        <f>'Emp.-Detail'!A18</f>
        <v>10</v>
      </c>
      <c r="B23" s="103" t="str">
        <f>'Emp.-Detail'!B18</f>
        <v xml:space="preserve">SITARAM DADHICH </v>
      </c>
      <c r="C23" s="103" t="str">
        <f>'Emp.-Detail'!C18</f>
        <v>Lecturer</v>
      </c>
      <c r="D23" s="104" t="str">
        <f>'Emp.-Detail'!D18</f>
        <v>AFZPD5085N</v>
      </c>
      <c r="E23" s="105">
        <f>'Q-I'!N23</f>
        <v>138524</v>
      </c>
      <c r="F23" s="106">
        <f>'Q-I'!O23</f>
        <v>0</v>
      </c>
      <c r="G23" s="105">
        <f>'Q-I'!P23</f>
        <v>4500</v>
      </c>
      <c r="H23" s="105">
        <f>'Q-II'!N23</f>
        <v>142514</v>
      </c>
      <c r="I23" s="106">
        <f>'Q-II'!O23</f>
        <v>0</v>
      </c>
      <c r="J23" s="105">
        <f>'Q-II'!P23</f>
        <v>4500</v>
      </c>
      <c r="K23" s="105">
        <f>'Q-III'!N23</f>
        <v>142683</v>
      </c>
      <c r="L23" s="106">
        <f>'Q-III'!O23</f>
        <v>0</v>
      </c>
      <c r="M23" s="105">
        <f>'Q-III'!P23</f>
        <v>4500</v>
      </c>
      <c r="N23" s="105">
        <f>'Q-IV'!N23</f>
        <v>143877</v>
      </c>
      <c r="O23" s="106">
        <f>'Q-IV'!O23</f>
        <v>0</v>
      </c>
      <c r="P23" s="105">
        <f>'Q-IV'!P23</f>
        <v>4500</v>
      </c>
      <c r="Q23" s="83">
        <f t="shared" si="0"/>
        <v>567598</v>
      </c>
      <c r="R23" s="90">
        <f t="shared" si="1"/>
        <v>0</v>
      </c>
      <c r="S23" s="107">
        <f t="shared" si="2"/>
        <v>18000</v>
      </c>
    </row>
    <row r="24" spans="1:19" ht="20.100000000000001" customHeight="1">
      <c r="A24" s="102">
        <f>'Emp.-Detail'!A19</f>
        <v>11</v>
      </c>
      <c r="B24" s="103" t="str">
        <f>'Emp.-Detail'!B19</f>
        <v xml:space="preserve">VIJAY SINGH </v>
      </c>
      <c r="C24" s="103" t="str">
        <f>'Emp.-Detail'!C19</f>
        <v>Sr. Teacher</v>
      </c>
      <c r="D24" s="104" t="str">
        <f>'Emp.-Detail'!D19</f>
        <v>AIDPS3122L</v>
      </c>
      <c r="E24" s="105">
        <f>'Q-I'!N24</f>
        <v>182909</v>
      </c>
      <c r="F24" s="106">
        <f>'Q-I'!O24</f>
        <v>0</v>
      </c>
      <c r="G24" s="105">
        <f>'Q-I'!P24</f>
        <v>3000</v>
      </c>
      <c r="H24" s="105">
        <f>'Q-II'!N24</f>
        <v>188196</v>
      </c>
      <c r="I24" s="106">
        <f>'Q-II'!O24</f>
        <v>0</v>
      </c>
      <c r="J24" s="105">
        <f>'Q-II'!P24</f>
        <v>3000</v>
      </c>
      <c r="K24" s="105">
        <f>'Q-III'!N24</f>
        <v>188428</v>
      </c>
      <c r="L24" s="106">
        <f>'Q-III'!O24</f>
        <v>0</v>
      </c>
      <c r="M24" s="105">
        <f>'Q-III'!P24</f>
        <v>3000</v>
      </c>
      <c r="N24" s="105">
        <f>'Q-IV'!N24</f>
        <v>190005</v>
      </c>
      <c r="O24" s="106">
        <f>'Q-IV'!O24</f>
        <v>0</v>
      </c>
      <c r="P24" s="105">
        <f>'Q-IV'!P24</f>
        <v>3000</v>
      </c>
      <c r="Q24" s="83">
        <f t="shared" si="0"/>
        <v>749538</v>
      </c>
      <c r="R24" s="90">
        <f t="shared" si="1"/>
        <v>0</v>
      </c>
      <c r="S24" s="107">
        <f t="shared" si="2"/>
        <v>12000</v>
      </c>
    </row>
    <row r="25" spans="1:19" ht="20.100000000000001" customHeight="1">
      <c r="A25" s="102">
        <f>'Emp.-Detail'!A20</f>
        <v>12</v>
      </c>
      <c r="B25" s="103" t="str">
        <f>'Emp.-Detail'!B20</f>
        <v>RANVEER SINGH</v>
      </c>
      <c r="C25" s="103" t="str">
        <f>'Emp.-Detail'!C20</f>
        <v>Sr. Teacher</v>
      </c>
      <c r="D25" s="104" t="str">
        <f>'Emp.-Detail'!D20</f>
        <v>ABKPM3872F</v>
      </c>
      <c r="E25" s="105">
        <f>'Q-I'!N25</f>
        <v>211192</v>
      </c>
      <c r="F25" s="106">
        <f>'Q-I'!O25</f>
        <v>0</v>
      </c>
      <c r="G25" s="105">
        <f>'Q-I'!P25</f>
        <v>6000</v>
      </c>
      <c r="H25" s="105">
        <f>'Q-II'!N25</f>
        <v>187835</v>
      </c>
      <c r="I25" s="106">
        <f>'Q-II'!O25</f>
        <v>0</v>
      </c>
      <c r="J25" s="105">
        <f>'Q-II'!P25</f>
        <v>6000</v>
      </c>
      <c r="K25" s="105">
        <f>'Q-III'!N25</f>
        <v>188069</v>
      </c>
      <c r="L25" s="106">
        <f>'Q-III'!O25</f>
        <v>0</v>
      </c>
      <c r="M25" s="105">
        <f>'Q-III'!P25</f>
        <v>6000</v>
      </c>
      <c r="N25" s="105">
        <f>'Q-IV'!N25</f>
        <v>189642</v>
      </c>
      <c r="O25" s="106">
        <f>'Q-IV'!O25</f>
        <v>0</v>
      </c>
      <c r="P25" s="105">
        <f>'Q-IV'!P25</f>
        <v>6000</v>
      </c>
      <c r="Q25" s="83">
        <f t="shared" si="0"/>
        <v>776738</v>
      </c>
      <c r="R25" s="90">
        <f t="shared" si="1"/>
        <v>0</v>
      </c>
      <c r="S25" s="107">
        <f t="shared" si="2"/>
        <v>24000</v>
      </c>
    </row>
    <row r="26" spans="1:19" ht="20.100000000000001" customHeight="1">
      <c r="A26" s="102">
        <f>'Emp.-Detail'!A21</f>
        <v>13</v>
      </c>
      <c r="B26" s="103" t="str">
        <f>'Emp.-Detail'!B21</f>
        <v>VIJAY SANKAR SHARAMA</v>
      </c>
      <c r="C26" s="103" t="str">
        <f>'Emp.-Detail'!C21</f>
        <v>Sr. Teacher</v>
      </c>
      <c r="D26" s="104" t="str">
        <f>'Emp.-Detail'!D21</f>
        <v>ADUPS1283L</v>
      </c>
      <c r="E26" s="105">
        <f>'Q-I'!N26</f>
        <v>181115</v>
      </c>
      <c r="F26" s="106">
        <f>'Q-I'!O26</f>
        <v>0</v>
      </c>
      <c r="G26" s="105">
        <f>'Q-I'!P26</f>
        <v>10500</v>
      </c>
      <c r="H26" s="105">
        <f>'Q-II'!N26</f>
        <v>186338</v>
      </c>
      <c r="I26" s="106">
        <f>'Q-II'!O26</f>
        <v>0</v>
      </c>
      <c r="J26" s="105">
        <f>'Q-II'!P26</f>
        <v>10500</v>
      </c>
      <c r="K26" s="105">
        <f>'Q-III'!N26</f>
        <v>186563</v>
      </c>
      <c r="L26" s="106">
        <f>'Q-III'!O26</f>
        <v>0</v>
      </c>
      <c r="M26" s="105">
        <f>'Q-III'!P26</f>
        <v>10500</v>
      </c>
      <c r="N26" s="105">
        <f>'Q-IV'!N26</f>
        <v>188124</v>
      </c>
      <c r="O26" s="106">
        <f>'Q-IV'!O26</f>
        <v>0</v>
      </c>
      <c r="P26" s="105">
        <f>'Q-IV'!P26</f>
        <v>10500</v>
      </c>
      <c r="Q26" s="83">
        <f t="shared" si="0"/>
        <v>742140</v>
      </c>
      <c r="R26" s="90">
        <f t="shared" si="1"/>
        <v>0</v>
      </c>
      <c r="S26" s="107">
        <f t="shared" si="2"/>
        <v>42000</v>
      </c>
    </row>
    <row r="27" spans="1:19" ht="20.100000000000001" customHeight="1">
      <c r="A27" s="102">
        <f>'Emp.-Detail'!A22</f>
        <v>14</v>
      </c>
      <c r="B27" s="103" t="str">
        <f>'Emp.-Detail'!B22</f>
        <v xml:space="preserve">GOVIND RAM BHATI </v>
      </c>
      <c r="C27" s="103" t="str">
        <f>'Emp.-Detail'!C22</f>
        <v>Sr. Teacher</v>
      </c>
      <c r="D27" s="104" t="str">
        <f>'Emp.-Detail'!D22</f>
        <v>ASHPR1636E</v>
      </c>
      <c r="E27" s="105">
        <f>'Q-I'!N27</f>
        <v>177513</v>
      </c>
      <c r="F27" s="106">
        <f>'Q-I'!O27</f>
        <v>0</v>
      </c>
      <c r="G27" s="105">
        <f>'Q-I'!P27</f>
        <v>6000</v>
      </c>
      <c r="H27" s="105">
        <f>'Q-II'!N27</f>
        <v>157895</v>
      </c>
      <c r="I27" s="106">
        <f>'Q-II'!O27</f>
        <v>0</v>
      </c>
      <c r="J27" s="105">
        <f>'Q-II'!P27</f>
        <v>6000</v>
      </c>
      <c r="K27" s="105">
        <f>'Q-III'!N27</f>
        <v>158100</v>
      </c>
      <c r="L27" s="106">
        <f>'Q-III'!O27</f>
        <v>0</v>
      </c>
      <c r="M27" s="105">
        <f>'Q-III'!P27</f>
        <v>6000</v>
      </c>
      <c r="N27" s="105">
        <f>'Q-IV'!N27</f>
        <v>159423</v>
      </c>
      <c r="O27" s="106">
        <f>'Q-IV'!O27</f>
        <v>0</v>
      </c>
      <c r="P27" s="105">
        <f>'Q-IV'!P27</f>
        <v>6000</v>
      </c>
      <c r="Q27" s="83">
        <f t="shared" si="0"/>
        <v>652931</v>
      </c>
      <c r="R27" s="90">
        <f t="shared" si="1"/>
        <v>0</v>
      </c>
      <c r="S27" s="107">
        <f t="shared" si="2"/>
        <v>24000</v>
      </c>
    </row>
    <row r="28" spans="1:19" ht="20.100000000000001" customHeight="1">
      <c r="A28" s="102">
        <f>'Emp.-Detail'!A23</f>
        <v>15</v>
      </c>
      <c r="B28" s="103" t="str">
        <f>'Emp.-Detail'!B23</f>
        <v>RAJ KUMAR TANWAR</v>
      </c>
      <c r="C28" s="103" t="str">
        <f>'Emp.-Detail'!C23</f>
        <v>Lab. Asist.</v>
      </c>
      <c r="D28" s="104" t="str">
        <f>'Emp.-Detail'!D23</f>
        <v>ACPPT9605F</v>
      </c>
      <c r="E28" s="105">
        <f>'Q-I'!N28</f>
        <v>169572</v>
      </c>
      <c r="F28" s="106">
        <f>'Q-I'!O28</f>
        <v>0</v>
      </c>
      <c r="G28" s="105">
        <f>'Q-I'!P28</f>
        <v>6000</v>
      </c>
      <c r="H28" s="105">
        <f>'Q-II'!N28</f>
        <v>174456</v>
      </c>
      <c r="I28" s="106">
        <f>'Q-II'!O28</f>
        <v>0</v>
      </c>
      <c r="J28" s="105">
        <f>'Q-II'!P28</f>
        <v>6000</v>
      </c>
      <c r="K28" s="105">
        <f>'Q-III'!N28</f>
        <v>174662</v>
      </c>
      <c r="L28" s="106">
        <f>'Q-III'!O28</f>
        <v>0</v>
      </c>
      <c r="M28" s="105">
        <f>'Q-III'!P28</f>
        <v>6000</v>
      </c>
      <c r="N28" s="105">
        <f>'Q-IV'!N28</f>
        <v>176124</v>
      </c>
      <c r="O28" s="106">
        <f>'Q-IV'!O28</f>
        <v>0</v>
      </c>
      <c r="P28" s="105">
        <f>'Q-IV'!P28</f>
        <v>6000</v>
      </c>
      <c r="Q28" s="83">
        <f t="shared" si="0"/>
        <v>694814</v>
      </c>
      <c r="R28" s="90">
        <f t="shared" si="1"/>
        <v>0</v>
      </c>
      <c r="S28" s="107">
        <f t="shared" si="2"/>
        <v>24000</v>
      </c>
    </row>
    <row r="29" spans="1:19" ht="20.100000000000001" customHeight="1">
      <c r="A29" s="102">
        <f>'Emp.-Detail'!A24</f>
        <v>16</v>
      </c>
      <c r="B29" s="103" t="str">
        <f>'Emp.-Detail'!B24</f>
        <v>VIJAY KUMAR DENWAL</v>
      </c>
      <c r="C29" s="103" t="str">
        <f>'Emp.-Detail'!C24</f>
        <v>UDC</v>
      </c>
      <c r="D29" s="104" t="str">
        <f>'Emp.-Detail'!D24</f>
        <v>AKPPD4869B</v>
      </c>
      <c r="E29" s="105">
        <f>'Q-I'!N29</f>
        <v>135374</v>
      </c>
      <c r="F29" s="106">
        <f>'Q-I'!O29</f>
        <v>0</v>
      </c>
      <c r="G29" s="105">
        <f>'Q-I'!P29</f>
        <v>4500</v>
      </c>
      <c r="H29" s="105">
        <f>'Q-II'!N29</f>
        <v>120387</v>
      </c>
      <c r="I29" s="106">
        <f>'Q-II'!O29</f>
        <v>0</v>
      </c>
      <c r="J29" s="105">
        <f>'Q-II'!P29</f>
        <v>4500</v>
      </c>
      <c r="K29" s="105">
        <f>'Q-III'!N29</f>
        <v>120528</v>
      </c>
      <c r="L29" s="106">
        <f>'Q-III'!O29</f>
        <v>0</v>
      </c>
      <c r="M29" s="105">
        <f>'Q-III'!P29</f>
        <v>4500</v>
      </c>
      <c r="N29" s="105">
        <f>'Q-IV'!N29</f>
        <v>121536</v>
      </c>
      <c r="O29" s="106">
        <f>'Q-IV'!O29</f>
        <v>0</v>
      </c>
      <c r="P29" s="105">
        <f>'Q-IV'!P29</f>
        <v>4500</v>
      </c>
      <c r="Q29" s="83">
        <f t="shared" si="0"/>
        <v>497825</v>
      </c>
      <c r="R29" s="90">
        <f t="shared" si="1"/>
        <v>0</v>
      </c>
      <c r="S29" s="107">
        <f t="shared" si="2"/>
        <v>18000</v>
      </c>
    </row>
    <row r="30" spans="1:19" ht="20.100000000000001" customHeight="1">
      <c r="A30" s="102">
        <f>'Emp.-Detail'!A25</f>
        <v>17</v>
      </c>
      <c r="B30" s="103" t="str">
        <f>'Emp.-Detail'!B25</f>
        <v>DEEP CHAND PRAJAPAT</v>
      </c>
      <c r="C30" s="103" t="str">
        <f>'Emp.-Detail'!C25</f>
        <v>UDC</v>
      </c>
      <c r="D30" s="104" t="str">
        <f>'Emp.-Detail'!D25</f>
        <v>BDRPP3136R</v>
      </c>
      <c r="E30" s="105">
        <f>'Q-I'!N30</f>
        <v>109058</v>
      </c>
      <c r="F30" s="106">
        <f>'Q-I'!O30</f>
        <v>0</v>
      </c>
      <c r="G30" s="105">
        <f>'Q-I'!P30</f>
        <v>0</v>
      </c>
      <c r="H30" s="105">
        <f>'Q-II'!N30</f>
        <v>112214</v>
      </c>
      <c r="I30" s="106">
        <f>'Q-II'!O30</f>
        <v>0</v>
      </c>
      <c r="J30" s="105">
        <f>'Q-II'!P30</f>
        <v>0</v>
      </c>
      <c r="K30" s="105">
        <f>'Q-III'!N30</f>
        <v>112355</v>
      </c>
      <c r="L30" s="106">
        <f>'Q-III'!O30</f>
        <v>0</v>
      </c>
      <c r="M30" s="105">
        <f>'Q-III'!P30</f>
        <v>0</v>
      </c>
      <c r="N30" s="105">
        <f>'Q-IV'!N30</f>
        <v>113295</v>
      </c>
      <c r="O30" s="106">
        <f>'Q-IV'!O30</f>
        <v>0</v>
      </c>
      <c r="P30" s="105">
        <f>'Q-IV'!P30</f>
        <v>0</v>
      </c>
      <c r="Q30" s="83">
        <f t="shared" si="0"/>
        <v>446922</v>
      </c>
      <c r="R30" s="90">
        <f t="shared" si="1"/>
        <v>0</v>
      </c>
      <c r="S30" s="107">
        <f t="shared" si="2"/>
        <v>0</v>
      </c>
    </row>
    <row r="31" spans="1:19" ht="20.100000000000001" customHeight="1">
      <c r="A31" s="102">
        <f>'Emp.-Detail'!A26</f>
        <v>18</v>
      </c>
      <c r="B31" s="103" t="str">
        <f>'Emp.-Detail'!B26</f>
        <v xml:space="preserve">MANGI LAL </v>
      </c>
      <c r="C31" s="103" t="str">
        <f>'Emp.-Detail'!C26</f>
        <v>LDC</v>
      </c>
      <c r="D31" s="104" t="str">
        <f>'Emp.-Detail'!D26</f>
        <v>AMPPD4396D</v>
      </c>
      <c r="E31" s="105">
        <f>'Q-I'!N31</f>
        <v>107337</v>
      </c>
      <c r="F31" s="106">
        <f>'Q-I'!O31</f>
        <v>0</v>
      </c>
      <c r="G31" s="105">
        <f>'Q-I'!P31</f>
        <v>0</v>
      </c>
      <c r="H31" s="105">
        <f>'Q-II'!N31</f>
        <v>95461</v>
      </c>
      <c r="I31" s="106">
        <f>'Q-II'!O31</f>
        <v>0</v>
      </c>
      <c r="J31" s="105">
        <f>'Q-II'!P31</f>
        <v>0</v>
      </c>
      <c r="K31" s="105">
        <f>'Q-III'!N31</f>
        <v>95576</v>
      </c>
      <c r="L31" s="106">
        <f>'Q-III'!O31</f>
        <v>0</v>
      </c>
      <c r="M31" s="105">
        <f>'Q-III'!P31</f>
        <v>0</v>
      </c>
      <c r="N31" s="105">
        <f>'Q-IV'!N31</f>
        <v>96375</v>
      </c>
      <c r="O31" s="106">
        <f>'Q-IV'!O31</f>
        <v>0</v>
      </c>
      <c r="P31" s="105">
        <f>'Q-IV'!P31</f>
        <v>0</v>
      </c>
      <c r="Q31" s="83">
        <f t="shared" si="0"/>
        <v>394749</v>
      </c>
      <c r="R31" s="90">
        <f t="shared" si="1"/>
        <v>0</v>
      </c>
      <c r="S31" s="107">
        <f t="shared" si="2"/>
        <v>0</v>
      </c>
    </row>
    <row r="32" spans="1:19" ht="20.100000000000001" customHeight="1">
      <c r="A32" s="102">
        <f>'Emp.-Detail'!A27</f>
        <v>19</v>
      </c>
      <c r="B32" s="103" t="str">
        <f>'Emp.-Detail'!B27</f>
        <v xml:space="preserve">KAMAL KISHOR RANKAWAT </v>
      </c>
      <c r="C32" s="103" t="str">
        <f>'Emp.-Detail'!C27</f>
        <v>LDC</v>
      </c>
      <c r="D32" s="104" t="str">
        <f>'Emp.-Detail'!D27</f>
        <v>AVUPR4488E</v>
      </c>
      <c r="E32" s="105">
        <f>'Q-I'!N32</f>
        <v>86684</v>
      </c>
      <c r="F32" s="106">
        <f>'Q-I'!O32</f>
        <v>0</v>
      </c>
      <c r="G32" s="105">
        <f>'Q-I'!P32</f>
        <v>0</v>
      </c>
      <c r="H32" s="105">
        <f>'Q-II'!N32</f>
        <v>77116</v>
      </c>
      <c r="I32" s="106">
        <f>'Q-II'!O32</f>
        <v>0</v>
      </c>
      <c r="J32" s="105">
        <f>'Q-II'!P32</f>
        <v>0</v>
      </c>
      <c r="K32" s="105">
        <f>'Q-III'!N32</f>
        <v>77222</v>
      </c>
      <c r="L32" s="106">
        <f>'Q-III'!O32</f>
        <v>0</v>
      </c>
      <c r="M32" s="105">
        <f>'Q-III'!P32</f>
        <v>0</v>
      </c>
      <c r="N32" s="105">
        <f>'Q-IV'!N32</f>
        <v>77868</v>
      </c>
      <c r="O32" s="106">
        <f>'Q-IV'!O32</f>
        <v>0</v>
      </c>
      <c r="P32" s="105">
        <f>'Q-IV'!P32</f>
        <v>0</v>
      </c>
      <c r="Q32" s="83">
        <f t="shared" si="0"/>
        <v>318890</v>
      </c>
      <c r="R32" s="90">
        <f t="shared" si="1"/>
        <v>0</v>
      </c>
      <c r="S32" s="107">
        <f t="shared" si="2"/>
        <v>0</v>
      </c>
    </row>
    <row r="33" spans="1:21" ht="20.100000000000001" customHeight="1">
      <c r="A33" s="102">
        <f>'Emp.-Detail'!A28</f>
        <v>20</v>
      </c>
      <c r="B33" s="103" t="str">
        <f>'Emp.-Detail'!B28</f>
        <v>VINOD KUMAR SHARMA</v>
      </c>
      <c r="C33" s="103" t="str">
        <f>'Emp.-Detail'!C28</f>
        <v>Lab.Boy.</v>
      </c>
      <c r="D33" s="104" t="str">
        <f>'Emp.-Detail'!D28</f>
        <v>CJOPK0625C</v>
      </c>
      <c r="E33" s="105">
        <f>'Q-I'!N33</f>
        <v>90747</v>
      </c>
      <c r="F33" s="106">
        <f>'Q-I'!O33</f>
        <v>0</v>
      </c>
      <c r="G33" s="105">
        <f>'Q-I'!P33</f>
        <v>0</v>
      </c>
      <c r="H33" s="105">
        <f>'Q-II'!N33</f>
        <v>80707</v>
      </c>
      <c r="I33" s="106">
        <f>'Q-II'!O33</f>
        <v>0</v>
      </c>
      <c r="J33" s="105">
        <f>'Q-II'!P33</f>
        <v>0</v>
      </c>
      <c r="K33" s="105">
        <f>'Q-III'!N33</f>
        <v>80807</v>
      </c>
      <c r="L33" s="106">
        <f>'Q-III'!O33</f>
        <v>0</v>
      </c>
      <c r="M33" s="105">
        <f>'Q-III'!P33</f>
        <v>0</v>
      </c>
      <c r="N33" s="105">
        <f>'Q-IV'!N33</f>
        <v>81483</v>
      </c>
      <c r="O33" s="106">
        <f>'Q-IV'!O33</f>
        <v>0</v>
      </c>
      <c r="P33" s="105">
        <f>'Q-IV'!P33</f>
        <v>0</v>
      </c>
      <c r="Q33" s="83">
        <f t="shared" si="0"/>
        <v>333744</v>
      </c>
      <c r="R33" s="90">
        <f t="shared" si="1"/>
        <v>0</v>
      </c>
      <c r="S33" s="107">
        <f t="shared" si="2"/>
        <v>0</v>
      </c>
    </row>
    <row r="34" spans="1:21">
      <c r="A34" s="1284" t="s">
        <v>272</v>
      </c>
      <c r="B34" s="1285"/>
      <c r="C34" s="1285"/>
      <c r="D34" s="1285"/>
      <c r="E34" s="1285"/>
      <c r="F34" s="1285"/>
      <c r="G34" s="1285"/>
      <c r="H34" s="1285"/>
      <c r="I34" s="1285"/>
      <c r="J34" s="1285"/>
      <c r="K34" s="1285"/>
      <c r="L34" s="1285"/>
      <c r="M34" s="1285"/>
      <c r="N34" s="1285"/>
      <c r="O34" s="1285"/>
      <c r="P34" s="1285"/>
      <c r="Q34" s="1285"/>
      <c r="R34" s="1285"/>
      <c r="S34" s="1286"/>
    </row>
    <row r="35" spans="1:21" ht="15.75">
      <c r="A35" s="108" t="s">
        <v>11</v>
      </c>
      <c r="B35" s="1353" t="str">
        <f>'DDO '!L8</f>
        <v>LADURAM JAT</v>
      </c>
      <c r="C35" s="1353"/>
      <c r="D35" s="780" t="s">
        <v>50</v>
      </c>
      <c r="E35" s="780"/>
      <c r="F35" s="780"/>
      <c r="G35" s="780"/>
      <c r="H35" s="1353" t="str">
        <f>'DDO '!L10</f>
        <v>PRINCIPAL</v>
      </c>
      <c r="I35" s="1353"/>
      <c r="J35" s="1353"/>
      <c r="K35" s="1353"/>
      <c r="L35" s="780" t="s">
        <v>338</v>
      </c>
      <c r="M35" s="780"/>
      <c r="N35" s="780"/>
      <c r="O35" s="780"/>
      <c r="P35" s="780"/>
      <c r="Q35" s="780"/>
      <c r="R35" s="780"/>
      <c r="S35" s="781"/>
      <c r="T35" s="109"/>
    </row>
    <row r="36" spans="1:21">
      <c r="A36" s="110"/>
      <c r="B36" s="111" t="s">
        <v>340</v>
      </c>
      <c r="C36" s="111"/>
      <c r="D36" s="1353" t="str">
        <f>'DDO '!L22</f>
        <v>Govt. PCB Sr. Sec. School, Sujangarh</v>
      </c>
      <c r="E36" s="1353"/>
      <c r="F36" s="1353"/>
      <c r="G36" s="1353"/>
      <c r="H36" s="1353"/>
      <c r="I36" s="1353"/>
      <c r="J36" s="1353"/>
      <c r="K36" s="1295" t="s">
        <v>274</v>
      </c>
      <c r="L36" s="1295"/>
      <c r="M36" s="1295"/>
      <c r="N36" s="1295"/>
      <c r="O36" s="1295"/>
      <c r="P36" s="1295"/>
      <c r="Q36" s="1295"/>
      <c r="R36" s="1295"/>
      <c r="S36" s="1296"/>
    </row>
    <row r="37" spans="1:21" ht="9.9499999999999993" customHeight="1">
      <c r="A37" s="1347"/>
      <c r="B37" s="1348"/>
      <c r="C37" s="1348"/>
      <c r="D37" s="1348"/>
      <c r="E37" s="1348"/>
      <c r="F37" s="1348"/>
      <c r="G37" s="1348"/>
      <c r="H37" s="1348"/>
      <c r="I37" s="1348"/>
      <c r="J37" s="1348"/>
      <c r="K37" s="1348"/>
      <c r="L37" s="1348"/>
      <c r="M37" s="1348"/>
      <c r="N37" s="1348"/>
      <c r="O37" s="1348"/>
      <c r="P37" s="1348"/>
      <c r="Q37" s="1348"/>
      <c r="R37" s="1348"/>
      <c r="S37" s="1349"/>
    </row>
    <row r="38" spans="1:21" ht="12.75" customHeight="1">
      <c r="A38" s="1347"/>
      <c r="B38" s="1348"/>
      <c r="C38" s="1348"/>
      <c r="D38" s="1348"/>
      <c r="E38" s="1348"/>
      <c r="F38" s="1348"/>
      <c r="G38" s="1348"/>
      <c r="H38" s="1348"/>
      <c r="I38" s="1348"/>
      <c r="J38" s="1348"/>
      <c r="K38" s="1348"/>
      <c r="L38" s="1348"/>
      <c r="M38" s="1348"/>
      <c r="N38" s="1348"/>
      <c r="O38" s="1348"/>
      <c r="P38" s="1348"/>
      <c r="Q38" s="1348"/>
      <c r="R38" s="1348"/>
      <c r="S38" s="1349"/>
      <c r="U38" s="70"/>
    </row>
    <row r="39" spans="1:21" ht="12" customHeight="1">
      <c r="A39" s="1347"/>
      <c r="B39" s="1348"/>
      <c r="C39" s="1348"/>
      <c r="D39" s="1348"/>
      <c r="E39" s="1348"/>
      <c r="F39" s="1348"/>
      <c r="G39" s="1348"/>
      <c r="H39" s="1348"/>
      <c r="I39" s="1348"/>
      <c r="J39" s="1348"/>
      <c r="K39" s="1348"/>
      <c r="L39" s="1348"/>
      <c r="M39" s="1348"/>
      <c r="N39" s="1348"/>
      <c r="O39" s="1348"/>
      <c r="P39" s="1348"/>
      <c r="Q39" s="1348"/>
      <c r="R39" s="1348"/>
      <c r="S39" s="1349"/>
    </row>
    <row r="40" spans="1:21" ht="15.75" thickBot="1">
      <c r="A40" s="1354"/>
      <c r="B40" s="1282"/>
      <c r="C40" s="1282"/>
      <c r="D40" s="1282"/>
      <c r="E40" s="1282"/>
      <c r="F40" s="1282"/>
      <c r="G40" s="1282" t="s">
        <v>215</v>
      </c>
      <c r="H40" s="1282"/>
      <c r="I40" s="1282"/>
      <c r="J40" s="1282"/>
      <c r="K40" s="1282"/>
      <c r="L40" s="1282" t="s">
        <v>53</v>
      </c>
      <c r="M40" s="1282"/>
      <c r="N40" s="1282"/>
      <c r="O40" s="1282"/>
      <c r="P40" s="1282"/>
      <c r="Q40" s="1282"/>
      <c r="R40" s="1282"/>
      <c r="S40" s="1283"/>
    </row>
    <row r="41" spans="1:21" ht="4.5" customHeight="1">
      <c r="A41" s="112"/>
      <c r="B41" s="112"/>
      <c r="C41" s="112"/>
      <c r="D41" s="112"/>
      <c r="E41" s="112"/>
      <c r="F41" s="112"/>
      <c r="G41" s="112"/>
      <c r="H41" s="112"/>
      <c r="I41" s="112"/>
      <c r="J41" s="112"/>
      <c r="K41" s="112"/>
      <c r="L41" s="112"/>
      <c r="M41" s="112"/>
      <c r="N41" s="112"/>
      <c r="O41" s="112"/>
      <c r="P41" s="112"/>
      <c r="Q41" s="112"/>
      <c r="R41" s="112"/>
      <c r="S41" s="112"/>
    </row>
    <row r="42" spans="1:21" hidden="1">
      <c r="A42" s="112"/>
      <c r="B42" s="112"/>
      <c r="C42" s="112"/>
      <c r="D42" s="112"/>
      <c r="E42" s="112"/>
      <c r="F42" s="112"/>
      <c r="G42" s="112"/>
      <c r="H42" s="112"/>
      <c r="I42" s="112"/>
      <c r="J42" s="112"/>
      <c r="K42" s="112"/>
      <c r="L42" s="112"/>
      <c r="M42" s="112"/>
      <c r="N42" s="112"/>
      <c r="O42" s="112"/>
      <c r="P42" s="112"/>
      <c r="Q42" s="112"/>
      <c r="R42" s="112"/>
      <c r="S42" s="112"/>
    </row>
    <row r="43" spans="1:21" hidden="1">
      <c r="A43" s="112"/>
      <c r="B43" s="112"/>
      <c r="C43" s="112"/>
      <c r="D43" s="112"/>
      <c r="E43" s="112"/>
      <c r="F43" s="112"/>
      <c r="G43" s="112"/>
      <c r="H43" s="112"/>
      <c r="I43" s="112"/>
      <c r="J43" s="112"/>
      <c r="K43" s="112"/>
      <c r="L43" s="112"/>
      <c r="M43" s="112"/>
      <c r="N43" s="112"/>
      <c r="O43" s="112"/>
      <c r="P43" s="112"/>
      <c r="Q43" s="112"/>
      <c r="R43" s="112"/>
      <c r="S43" s="112"/>
    </row>
  </sheetData>
  <sheetProtection password="CCB4" sheet="1" objects="1" scenarios="1" selectLockedCells="1"/>
  <mergeCells count="66">
    <mergeCell ref="C1:XFD1"/>
    <mergeCell ref="D36:J36"/>
    <mergeCell ref="L40:S40"/>
    <mergeCell ref="G40:H40"/>
    <mergeCell ref="K36:S36"/>
    <mergeCell ref="A37:S39"/>
    <mergeCell ref="A40:F40"/>
    <mergeCell ref="I40:K40"/>
    <mergeCell ref="Q7:S7"/>
    <mergeCell ref="Q8:S8"/>
    <mergeCell ref="B35:C35"/>
    <mergeCell ref="D35:G35"/>
    <mergeCell ref="H35:K35"/>
    <mergeCell ref="L35:S35"/>
    <mergeCell ref="A9:C9"/>
    <mergeCell ref="O9:S9"/>
    <mergeCell ref="D9:H9"/>
    <mergeCell ref="I9:N9"/>
    <mergeCell ref="A34:S34"/>
    <mergeCell ref="A10:S10"/>
    <mergeCell ref="F12:F13"/>
    <mergeCell ref="G12:G13"/>
    <mergeCell ref="H12:H13"/>
    <mergeCell ref="I12:I13"/>
    <mergeCell ref="Q11:Q13"/>
    <mergeCell ref="R11:R13"/>
    <mergeCell ref="K11:M11"/>
    <mergeCell ref="E12:E13"/>
    <mergeCell ref="E3:K3"/>
    <mergeCell ref="E4:K4"/>
    <mergeCell ref="L4:S4"/>
    <mergeCell ref="A5:S5"/>
    <mergeCell ref="A7:B7"/>
    <mergeCell ref="J7:L7"/>
    <mergeCell ref="J8:L8"/>
    <mergeCell ref="C3:D3"/>
    <mergeCell ref="N11:P11"/>
    <mergeCell ref="N12:N13"/>
    <mergeCell ref="O12:O13"/>
    <mergeCell ref="P12:P13"/>
    <mergeCell ref="A4:D4"/>
    <mergeCell ref="M7:P7"/>
    <mergeCell ref="M8:P8"/>
    <mergeCell ref="J12:J13"/>
    <mergeCell ref="K12:K13"/>
    <mergeCell ref="A8:B8"/>
    <mergeCell ref="C7:E7"/>
    <mergeCell ref="C8:E8"/>
    <mergeCell ref="F7:I7"/>
    <mergeCell ref="F8:I8"/>
    <mergeCell ref="A1:B1"/>
    <mergeCell ref="L12:L13"/>
    <mergeCell ref="M12:M13"/>
    <mergeCell ref="A11:A13"/>
    <mergeCell ref="B11:B13"/>
    <mergeCell ref="C11:C13"/>
    <mergeCell ref="D11:D13"/>
    <mergeCell ref="E11:G11"/>
    <mergeCell ref="H11:J11"/>
    <mergeCell ref="A6:S6"/>
    <mergeCell ref="S11:S13"/>
    <mergeCell ref="A2:D2"/>
    <mergeCell ref="E2:S2"/>
    <mergeCell ref="Q3:S3"/>
    <mergeCell ref="L3:P3"/>
    <mergeCell ref="A3:B3"/>
  </mergeCells>
  <hyperlinks>
    <hyperlink ref="A1:B1" location="'I-Tax Master'!A1" tooltip=" " display="Back To Main Menu"/>
  </hyperlinks>
  <pageMargins left="1" right="0" top="0.25" bottom="0.25" header="0" footer="0"/>
  <pageSetup paperSize="9" scale="80" orientation="landscape" verticalDpi="0" r:id="rId1"/>
  <ignoredErrors>
    <ignoredError sqref="A2:S1048576" unlockedFormula="1"/>
  </ignoredErrors>
</worksheet>
</file>

<file path=xl/worksheets/sheet3.xml><?xml version="1.0" encoding="utf-8"?>
<worksheet xmlns="http://schemas.openxmlformats.org/spreadsheetml/2006/main" xmlns:r="http://schemas.openxmlformats.org/officeDocument/2006/relationships">
  <dimension ref="A1:EB45"/>
  <sheetViews>
    <sheetView workbookViewId="0">
      <pane xSplit="5" ySplit="7" topLeftCell="F8" activePane="bottomRight" state="frozen"/>
      <selection pane="topRight" activeCell="F1" sqref="F1"/>
      <selection pane="bottomLeft" activeCell="A8" sqref="A8"/>
      <selection pane="bottomRight"/>
    </sheetView>
  </sheetViews>
  <sheetFormatPr defaultColWidth="0" defaultRowHeight="15" zeroHeight="1"/>
  <cols>
    <col min="1" max="1" width="37.85546875" style="18" customWidth="1"/>
    <col min="2" max="2" width="12.140625" style="18" customWidth="1"/>
    <col min="3" max="3" width="11.7109375" style="18" customWidth="1"/>
    <col min="4" max="4" width="10.42578125" style="18" customWidth="1"/>
    <col min="5" max="5" width="7" style="18" customWidth="1"/>
    <col min="6" max="6" width="22.28515625" style="18" customWidth="1"/>
    <col min="7" max="7" width="18.85546875" style="18" customWidth="1"/>
    <col min="8" max="8" width="8.28515625" style="18" customWidth="1"/>
    <col min="9" max="9" width="10" style="18" customWidth="1"/>
    <col min="10" max="10" width="8.85546875" style="18" customWidth="1"/>
    <col min="11" max="11" width="14.42578125" style="18" customWidth="1"/>
    <col min="12" max="12" width="5.7109375" style="18" customWidth="1"/>
    <col min="13" max="13" width="10.7109375" style="18" customWidth="1"/>
    <col min="14" max="14" width="10.42578125" style="18" customWidth="1"/>
    <col min="15" max="15" width="14.28515625" style="18" customWidth="1"/>
    <col min="16" max="16" width="9.140625" style="18" customWidth="1"/>
    <col min="17" max="132" width="0" style="18" hidden="1" customWidth="1"/>
    <col min="133" max="16384" width="9.140625" style="18" hidden="1"/>
  </cols>
  <sheetData>
    <row r="1" spans="1:23" ht="19.5" thickBot="1">
      <c r="A1" s="157" t="s">
        <v>403</v>
      </c>
      <c r="B1" s="645"/>
      <c r="C1" s="645"/>
      <c r="D1" s="645"/>
      <c r="E1" s="645"/>
      <c r="F1" s="645"/>
      <c r="G1" s="645"/>
      <c r="H1" s="645"/>
      <c r="I1" s="645"/>
      <c r="J1" s="645"/>
      <c r="K1" s="645"/>
      <c r="L1" s="645"/>
      <c r="M1" s="645"/>
      <c r="N1" s="645"/>
      <c r="O1" s="645"/>
      <c r="P1" s="646"/>
    </row>
    <row r="2" spans="1:23" ht="24" thickBot="1">
      <c r="A2" s="32" t="s">
        <v>317</v>
      </c>
      <c r="B2" s="653" t="s">
        <v>613</v>
      </c>
      <c r="C2" s="653"/>
      <c r="D2" s="653"/>
      <c r="E2" s="653"/>
      <c r="F2" s="653"/>
      <c r="G2" s="653"/>
      <c r="H2" s="691"/>
      <c r="I2" s="651" t="s">
        <v>256</v>
      </c>
      <c r="J2" s="651"/>
      <c r="K2" s="651"/>
      <c r="L2" s="652"/>
      <c r="M2" s="705" t="s">
        <v>238</v>
      </c>
      <c r="N2" s="706"/>
      <c r="O2" s="707"/>
      <c r="P2" s="646"/>
    </row>
    <row r="3" spans="1:23" s="20" customFormat="1" ht="21" customHeight="1" thickBot="1">
      <c r="A3" s="33" t="s">
        <v>6</v>
      </c>
      <c r="B3" s="19" t="s">
        <v>108</v>
      </c>
      <c r="C3" s="665"/>
      <c r="D3" s="666"/>
      <c r="E3" s="667"/>
      <c r="F3" s="38" t="s">
        <v>7</v>
      </c>
      <c r="G3" s="19" t="s">
        <v>206</v>
      </c>
      <c r="H3" s="698"/>
      <c r="I3" s="648" t="s">
        <v>582</v>
      </c>
      <c r="J3" s="649"/>
      <c r="K3" s="649"/>
      <c r="L3" s="650"/>
      <c r="M3" s="702">
        <v>42855</v>
      </c>
      <c r="N3" s="703"/>
      <c r="O3" s="704"/>
      <c r="P3" s="646"/>
    </row>
    <row r="4" spans="1:23" s="20" customFormat="1" ht="16.5" thickBot="1">
      <c r="A4" s="696"/>
      <c r="B4" s="697"/>
      <c r="C4" s="662" t="s">
        <v>207</v>
      </c>
      <c r="D4" s="663"/>
      <c r="E4" s="664"/>
      <c r="F4" s="693"/>
      <c r="G4" s="694"/>
      <c r="H4" s="694"/>
      <c r="I4" s="694"/>
      <c r="J4" s="694"/>
      <c r="K4" s="694"/>
      <c r="L4" s="694"/>
      <c r="M4" s="694"/>
      <c r="N4" s="694"/>
      <c r="O4" s="695"/>
      <c r="P4" s="646"/>
      <c r="S4" s="21"/>
      <c r="V4" s="21"/>
    </row>
    <row r="5" spans="1:23" s="20" customFormat="1" ht="21" thickBot="1">
      <c r="A5" s="34" t="s">
        <v>35</v>
      </c>
      <c r="B5" s="654" t="s">
        <v>319</v>
      </c>
      <c r="C5" s="655"/>
      <c r="D5" s="655"/>
      <c r="E5" s="656"/>
      <c r="F5" s="39"/>
      <c r="G5" s="668" t="s">
        <v>17</v>
      </c>
      <c r="H5" s="669"/>
      <c r="I5" s="669"/>
      <c r="J5" s="669"/>
      <c r="K5" s="669"/>
      <c r="L5" s="669"/>
      <c r="M5" s="669"/>
      <c r="N5" s="669"/>
      <c r="O5" s="670"/>
      <c r="P5" s="646"/>
      <c r="W5" s="21"/>
    </row>
    <row r="6" spans="1:23" ht="16.5" customHeight="1" thickBot="1">
      <c r="A6" s="35"/>
      <c r="B6" s="671"/>
      <c r="C6" s="671"/>
      <c r="D6" s="671"/>
      <c r="E6" s="671"/>
      <c r="F6" s="127"/>
      <c r="G6" s="671"/>
      <c r="H6" s="671"/>
      <c r="I6" s="671"/>
      <c r="J6" s="671"/>
      <c r="K6" s="671"/>
      <c r="L6" s="671"/>
      <c r="M6" s="671"/>
      <c r="N6" s="671"/>
      <c r="O6" s="672"/>
      <c r="P6" s="646"/>
      <c r="Q6" s="22"/>
      <c r="R6" s="22"/>
      <c r="S6" s="22"/>
      <c r="T6" s="22"/>
      <c r="W6" s="22"/>
    </row>
    <row r="7" spans="1:23" ht="15.75" customHeight="1" thickBot="1">
      <c r="A7" s="158" t="s">
        <v>581</v>
      </c>
      <c r="B7" s="659" t="s">
        <v>109</v>
      </c>
      <c r="C7" s="660"/>
      <c r="D7" s="660"/>
      <c r="E7" s="660"/>
      <c r="F7" s="657" t="s">
        <v>110</v>
      </c>
      <c r="G7" s="658"/>
      <c r="H7" s="660" t="s">
        <v>111</v>
      </c>
      <c r="I7" s="660"/>
      <c r="J7" s="660"/>
      <c r="K7" s="660"/>
      <c r="L7" s="659" t="s">
        <v>112</v>
      </c>
      <c r="M7" s="660"/>
      <c r="N7" s="660"/>
      <c r="O7" s="661"/>
      <c r="P7" s="646"/>
      <c r="Q7" s="23"/>
      <c r="R7" s="23"/>
      <c r="S7" s="23"/>
      <c r="T7" s="23"/>
    </row>
    <row r="8" spans="1:23" s="24" customFormat="1" ht="18" customHeight="1">
      <c r="A8" s="152" t="s">
        <v>113</v>
      </c>
      <c r="B8" s="675" t="s">
        <v>608</v>
      </c>
      <c r="C8" s="676"/>
      <c r="D8" s="676"/>
      <c r="E8" s="676"/>
      <c r="F8" s="673" t="s">
        <v>604</v>
      </c>
      <c r="G8" s="673"/>
      <c r="H8" s="673" t="s">
        <v>604</v>
      </c>
      <c r="I8" s="676"/>
      <c r="J8" s="676"/>
      <c r="K8" s="676"/>
      <c r="L8" s="673" t="s">
        <v>604</v>
      </c>
      <c r="M8" s="676"/>
      <c r="N8" s="676"/>
      <c r="O8" s="677"/>
      <c r="P8" s="646"/>
      <c r="Q8" s="25"/>
      <c r="R8" s="25"/>
      <c r="S8" s="25"/>
      <c r="T8" s="25"/>
    </row>
    <row r="9" spans="1:23" s="24" customFormat="1" ht="18" customHeight="1">
      <c r="A9" s="153" t="s">
        <v>114</v>
      </c>
      <c r="B9" s="675" t="s">
        <v>614</v>
      </c>
      <c r="C9" s="673"/>
      <c r="D9" s="673"/>
      <c r="E9" s="673"/>
      <c r="F9" s="673" t="s">
        <v>115</v>
      </c>
      <c r="G9" s="673"/>
      <c r="H9" s="673" t="s">
        <v>115</v>
      </c>
      <c r="I9" s="673"/>
      <c r="J9" s="673"/>
      <c r="K9" s="673"/>
      <c r="L9" s="673" t="s">
        <v>115</v>
      </c>
      <c r="M9" s="673"/>
      <c r="N9" s="673"/>
      <c r="O9" s="674"/>
      <c r="P9" s="646"/>
      <c r="Q9" s="25"/>
      <c r="R9" s="25"/>
      <c r="S9" s="25"/>
      <c r="T9" s="25"/>
    </row>
    <row r="10" spans="1:23" s="24" customFormat="1" ht="18" customHeight="1">
      <c r="A10" s="153" t="s">
        <v>116</v>
      </c>
      <c r="B10" s="675" t="s">
        <v>609</v>
      </c>
      <c r="C10" s="673"/>
      <c r="D10" s="673"/>
      <c r="E10" s="673"/>
      <c r="F10" s="673" t="s">
        <v>117</v>
      </c>
      <c r="G10" s="673"/>
      <c r="H10" s="673" t="s">
        <v>117</v>
      </c>
      <c r="I10" s="673"/>
      <c r="J10" s="673"/>
      <c r="K10" s="673"/>
      <c r="L10" s="673" t="s">
        <v>117</v>
      </c>
      <c r="M10" s="673"/>
      <c r="N10" s="673"/>
      <c r="O10" s="674"/>
      <c r="P10" s="646"/>
      <c r="Q10" s="25"/>
      <c r="R10" s="25"/>
      <c r="S10" s="25"/>
      <c r="T10" s="25"/>
    </row>
    <row r="11" spans="1:23" s="24" customFormat="1" ht="18" customHeight="1">
      <c r="A11" s="153" t="s">
        <v>337</v>
      </c>
      <c r="B11" s="675" t="s">
        <v>610</v>
      </c>
      <c r="C11" s="673"/>
      <c r="D11" s="673"/>
      <c r="E11" s="673"/>
      <c r="F11" s="673" t="s">
        <v>118</v>
      </c>
      <c r="G11" s="673"/>
      <c r="H11" s="673" t="s">
        <v>118</v>
      </c>
      <c r="I11" s="673"/>
      <c r="J11" s="673"/>
      <c r="K11" s="673"/>
      <c r="L11" s="673" t="s">
        <v>118</v>
      </c>
      <c r="M11" s="673"/>
      <c r="N11" s="673"/>
      <c r="O11" s="674"/>
      <c r="P11" s="646"/>
      <c r="Q11" s="25"/>
      <c r="R11" s="25"/>
      <c r="S11" s="25"/>
      <c r="T11" s="25"/>
    </row>
    <row r="12" spans="1:23" s="24" customFormat="1" ht="18" customHeight="1">
      <c r="A12" s="154" t="s">
        <v>119</v>
      </c>
      <c r="B12" s="684" t="s">
        <v>615</v>
      </c>
      <c r="C12" s="680"/>
      <c r="D12" s="680"/>
      <c r="E12" s="680"/>
      <c r="F12" s="680" t="s">
        <v>390</v>
      </c>
      <c r="G12" s="680"/>
      <c r="H12" s="680" t="s">
        <v>390</v>
      </c>
      <c r="I12" s="680"/>
      <c r="J12" s="680"/>
      <c r="K12" s="680"/>
      <c r="L12" s="680" t="s">
        <v>390</v>
      </c>
      <c r="M12" s="680"/>
      <c r="N12" s="680"/>
      <c r="O12" s="681"/>
      <c r="P12" s="646"/>
      <c r="Q12" s="25"/>
      <c r="R12" s="25"/>
      <c r="S12" s="25"/>
      <c r="T12" s="25"/>
    </row>
    <row r="13" spans="1:23" s="24" customFormat="1" ht="18" customHeight="1">
      <c r="A13" s="154" t="s">
        <v>336</v>
      </c>
      <c r="B13" s="682"/>
      <c r="C13" s="683"/>
      <c r="D13" s="683"/>
      <c r="E13" s="683"/>
      <c r="F13" s="683" t="s">
        <v>120</v>
      </c>
      <c r="G13" s="683"/>
      <c r="H13" s="683" t="s">
        <v>120</v>
      </c>
      <c r="I13" s="683"/>
      <c r="J13" s="683"/>
      <c r="K13" s="683"/>
      <c r="L13" s="683" t="s">
        <v>120</v>
      </c>
      <c r="M13" s="683"/>
      <c r="N13" s="683"/>
      <c r="O13" s="685"/>
      <c r="P13" s="646"/>
      <c r="Q13" s="25"/>
      <c r="R13" s="25"/>
      <c r="S13" s="25"/>
      <c r="T13" s="25"/>
    </row>
    <row r="14" spans="1:23" s="24" customFormat="1" ht="18" customHeight="1">
      <c r="A14" s="154" t="s">
        <v>121</v>
      </c>
      <c r="B14" s="678" t="s">
        <v>616</v>
      </c>
      <c r="C14" s="679"/>
      <c r="D14" s="679"/>
      <c r="E14" s="679"/>
      <c r="F14" s="679" t="s">
        <v>603</v>
      </c>
      <c r="G14" s="679"/>
      <c r="H14" s="678" t="s">
        <v>603</v>
      </c>
      <c r="I14" s="679"/>
      <c r="J14" s="679"/>
      <c r="K14" s="679"/>
      <c r="L14" s="678" t="s">
        <v>603</v>
      </c>
      <c r="M14" s="679"/>
      <c r="N14" s="679"/>
      <c r="O14" s="679"/>
      <c r="P14" s="646"/>
      <c r="Q14" s="26"/>
      <c r="R14" s="25"/>
      <c r="S14" s="25"/>
      <c r="T14" s="25"/>
    </row>
    <row r="15" spans="1:23" s="24" customFormat="1" ht="18" customHeight="1">
      <c r="A15" s="154" t="s">
        <v>122</v>
      </c>
      <c r="B15" s="684" t="s">
        <v>617</v>
      </c>
      <c r="C15" s="680"/>
      <c r="D15" s="680"/>
      <c r="E15" s="680"/>
      <c r="F15" s="680" t="s">
        <v>133</v>
      </c>
      <c r="G15" s="680"/>
      <c r="H15" s="680" t="s">
        <v>133</v>
      </c>
      <c r="I15" s="680"/>
      <c r="J15" s="680"/>
      <c r="K15" s="680"/>
      <c r="L15" s="680" t="s">
        <v>133</v>
      </c>
      <c r="M15" s="680"/>
      <c r="N15" s="680"/>
      <c r="O15" s="681"/>
      <c r="P15" s="646"/>
      <c r="Q15" s="27"/>
      <c r="R15" s="25"/>
      <c r="S15" s="25"/>
      <c r="T15" s="25"/>
    </row>
    <row r="16" spans="1:23" s="24" customFormat="1" ht="18" customHeight="1">
      <c r="A16" s="154" t="s">
        <v>123</v>
      </c>
      <c r="B16" s="684" t="s">
        <v>618</v>
      </c>
      <c r="C16" s="680"/>
      <c r="D16" s="680"/>
      <c r="E16" s="680"/>
      <c r="F16" s="680" t="s">
        <v>391</v>
      </c>
      <c r="G16" s="680"/>
      <c r="H16" s="680" t="s">
        <v>391</v>
      </c>
      <c r="I16" s="680"/>
      <c r="J16" s="680"/>
      <c r="K16" s="680"/>
      <c r="L16" s="680" t="s">
        <v>391</v>
      </c>
      <c r="M16" s="680"/>
      <c r="N16" s="680"/>
      <c r="O16" s="681"/>
      <c r="P16" s="646"/>
      <c r="Q16" s="25"/>
      <c r="R16" s="25"/>
      <c r="S16" s="25"/>
      <c r="T16" s="25"/>
    </row>
    <row r="17" spans="1:20" s="24" customFormat="1" ht="18" customHeight="1">
      <c r="A17" s="155" t="s">
        <v>124</v>
      </c>
      <c r="B17" s="689" t="s">
        <v>125</v>
      </c>
      <c r="C17" s="687"/>
      <c r="D17" s="687"/>
      <c r="E17" s="687"/>
      <c r="F17" s="687" t="s">
        <v>125</v>
      </c>
      <c r="G17" s="687"/>
      <c r="H17" s="687" t="s">
        <v>125</v>
      </c>
      <c r="I17" s="687"/>
      <c r="J17" s="687"/>
      <c r="K17" s="687"/>
      <c r="L17" s="687" t="s">
        <v>125</v>
      </c>
      <c r="M17" s="687"/>
      <c r="N17" s="687"/>
      <c r="O17" s="688"/>
      <c r="P17" s="646"/>
      <c r="Q17" s="28"/>
      <c r="R17" s="25"/>
      <c r="S17" s="25"/>
      <c r="T17" s="25"/>
    </row>
    <row r="18" spans="1:20" s="24" customFormat="1" ht="18" customHeight="1">
      <c r="A18" s="154" t="s">
        <v>126</v>
      </c>
      <c r="B18" s="682" t="s">
        <v>619</v>
      </c>
      <c r="C18" s="683"/>
      <c r="D18" s="683"/>
      <c r="E18" s="683"/>
      <c r="F18" s="683" t="s">
        <v>127</v>
      </c>
      <c r="G18" s="683"/>
      <c r="H18" s="683" t="s">
        <v>127</v>
      </c>
      <c r="I18" s="683"/>
      <c r="J18" s="683"/>
      <c r="K18" s="683"/>
      <c r="L18" s="683" t="s">
        <v>127</v>
      </c>
      <c r="M18" s="683"/>
      <c r="N18" s="683"/>
      <c r="O18" s="685"/>
      <c r="P18" s="646"/>
      <c r="Q18" s="25"/>
      <c r="R18" s="25"/>
      <c r="S18" s="25"/>
      <c r="T18" s="25"/>
    </row>
    <row r="19" spans="1:20" s="24" customFormat="1" ht="18" customHeight="1">
      <c r="A19" s="154" t="s">
        <v>128</v>
      </c>
      <c r="B19" s="682" t="s">
        <v>129</v>
      </c>
      <c r="C19" s="683"/>
      <c r="D19" s="683"/>
      <c r="E19" s="683"/>
      <c r="F19" s="683" t="s">
        <v>129</v>
      </c>
      <c r="G19" s="683"/>
      <c r="H19" s="683" t="s">
        <v>129</v>
      </c>
      <c r="I19" s="683"/>
      <c r="J19" s="683"/>
      <c r="K19" s="683"/>
      <c r="L19" s="683" t="s">
        <v>129</v>
      </c>
      <c r="M19" s="683"/>
      <c r="N19" s="683"/>
      <c r="O19" s="685"/>
      <c r="P19" s="646"/>
      <c r="Q19" s="25"/>
      <c r="R19" s="25"/>
      <c r="S19" s="25"/>
      <c r="T19" s="25"/>
    </row>
    <row r="20" spans="1:20" s="24" customFormat="1" ht="18" customHeight="1">
      <c r="A20" s="154" t="s">
        <v>130</v>
      </c>
      <c r="B20" s="682" t="s">
        <v>131</v>
      </c>
      <c r="C20" s="683"/>
      <c r="D20" s="683"/>
      <c r="E20" s="683"/>
      <c r="F20" s="683" t="s">
        <v>131</v>
      </c>
      <c r="G20" s="683"/>
      <c r="H20" s="683" t="s">
        <v>131</v>
      </c>
      <c r="I20" s="683"/>
      <c r="J20" s="683"/>
      <c r="K20" s="683"/>
      <c r="L20" s="683" t="s">
        <v>131</v>
      </c>
      <c r="M20" s="683"/>
      <c r="N20" s="683"/>
      <c r="O20" s="685"/>
      <c r="P20" s="646"/>
      <c r="Q20" s="25"/>
      <c r="R20" s="25"/>
      <c r="S20" s="25"/>
      <c r="T20" s="25"/>
    </row>
    <row r="21" spans="1:20" s="24" customFormat="1" ht="18" customHeight="1">
      <c r="A21" s="154" t="s">
        <v>132</v>
      </c>
      <c r="B21" s="682">
        <v>331507</v>
      </c>
      <c r="C21" s="683"/>
      <c r="D21" s="683"/>
      <c r="E21" s="683"/>
      <c r="F21" s="683">
        <v>331507</v>
      </c>
      <c r="G21" s="683"/>
      <c r="H21" s="683">
        <v>331507</v>
      </c>
      <c r="I21" s="683"/>
      <c r="J21" s="683"/>
      <c r="K21" s="683"/>
      <c r="L21" s="683">
        <v>331507</v>
      </c>
      <c r="M21" s="683"/>
      <c r="N21" s="683"/>
      <c r="O21" s="685"/>
      <c r="P21" s="646"/>
      <c r="Q21" s="25"/>
      <c r="R21" s="25"/>
      <c r="S21" s="25"/>
      <c r="T21" s="25"/>
    </row>
    <row r="22" spans="1:20" s="24" customFormat="1" ht="18" customHeight="1" thickBot="1">
      <c r="A22" s="156" t="s">
        <v>343</v>
      </c>
      <c r="B22" s="711" t="s">
        <v>134</v>
      </c>
      <c r="C22" s="708"/>
      <c r="D22" s="708"/>
      <c r="E22" s="708"/>
      <c r="F22" s="708" t="s">
        <v>134</v>
      </c>
      <c r="G22" s="708"/>
      <c r="H22" s="708" t="s">
        <v>134</v>
      </c>
      <c r="I22" s="708"/>
      <c r="J22" s="708"/>
      <c r="K22" s="708"/>
      <c r="L22" s="708" t="s">
        <v>134</v>
      </c>
      <c r="M22" s="708"/>
      <c r="N22" s="708"/>
      <c r="O22" s="709"/>
      <c r="P22" s="646"/>
      <c r="Q22" s="25"/>
      <c r="R22" s="25"/>
      <c r="S22" s="25"/>
      <c r="T22" s="25"/>
    </row>
    <row r="23" spans="1:20" s="24" customFormat="1" ht="18" customHeight="1">
      <c r="A23" s="36" t="s">
        <v>344</v>
      </c>
      <c r="B23" s="686" t="s">
        <v>502</v>
      </c>
      <c r="C23" s="686"/>
      <c r="D23" s="686"/>
      <c r="E23" s="686"/>
      <c r="F23" s="686" t="s">
        <v>502</v>
      </c>
      <c r="G23" s="686"/>
      <c r="H23" s="686" t="s">
        <v>502</v>
      </c>
      <c r="I23" s="686"/>
      <c r="J23" s="686"/>
      <c r="K23" s="686"/>
      <c r="L23" s="686" t="s">
        <v>502</v>
      </c>
      <c r="M23" s="686"/>
      <c r="N23" s="686"/>
      <c r="O23" s="710"/>
      <c r="P23" s="646"/>
      <c r="Q23" s="25"/>
      <c r="R23" s="25"/>
      <c r="S23" s="25"/>
      <c r="T23" s="25"/>
    </row>
    <row r="24" spans="1:20" s="24" customFormat="1" ht="18" customHeight="1" thickBot="1">
      <c r="A24" s="37" t="s">
        <v>345</v>
      </c>
      <c r="B24" s="699" t="s">
        <v>389</v>
      </c>
      <c r="C24" s="700"/>
      <c r="D24" s="700"/>
      <c r="E24" s="700"/>
      <c r="F24" s="699" t="s">
        <v>389</v>
      </c>
      <c r="G24" s="700"/>
      <c r="H24" s="699" t="s">
        <v>389</v>
      </c>
      <c r="I24" s="700"/>
      <c r="J24" s="700"/>
      <c r="K24" s="700"/>
      <c r="L24" s="699" t="s">
        <v>389</v>
      </c>
      <c r="M24" s="700"/>
      <c r="N24" s="700"/>
      <c r="O24" s="701"/>
      <c r="P24" s="646"/>
      <c r="Q24" s="29"/>
      <c r="R24" s="29"/>
      <c r="S24" s="29"/>
      <c r="T24" s="29"/>
    </row>
    <row r="25" spans="1:20" s="24" customFormat="1" ht="20.100000000000001" customHeight="1">
      <c r="A25" s="31"/>
      <c r="B25" s="690" t="s">
        <v>347</v>
      </c>
      <c r="C25" s="690"/>
      <c r="D25" s="690"/>
      <c r="E25" s="690"/>
      <c r="F25" s="691"/>
      <c r="G25" s="691"/>
      <c r="H25" s="691"/>
      <c r="I25" s="691"/>
      <c r="J25" s="691"/>
      <c r="K25" s="691"/>
      <c r="L25" s="691"/>
      <c r="M25" s="691"/>
      <c r="N25" s="691"/>
      <c r="O25" s="692"/>
      <c r="P25" s="646"/>
      <c r="Q25" s="29"/>
      <c r="R25" s="29"/>
      <c r="S25" s="29"/>
      <c r="T25" s="29"/>
    </row>
    <row r="26" spans="1:20" ht="15" hidden="1" customHeight="1">
      <c r="A26" s="52" t="s">
        <v>346</v>
      </c>
      <c r="B26" s="22"/>
      <c r="C26" s="22"/>
      <c r="D26" s="22"/>
      <c r="E26" s="22"/>
      <c r="F26" s="22"/>
      <c r="G26" s="22"/>
      <c r="H26" s="22"/>
      <c r="I26" s="22"/>
      <c r="J26" s="22"/>
      <c r="K26" s="22" t="s">
        <v>204</v>
      </c>
      <c r="L26" s="22"/>
      <c r="M26" s="22"/>
      <c r="N26" s="22"/>
      <c r="O26" s="30"/>
      <c r="P26" s="646"/>
    </row>
    <row r="27" spans="1:20" ht="15" hidden="1" customHeight="1">
      <c r="A27" s="52" t="s">
        <v>347</v>
      </c>
      <c r="B27" s="22"/>
      <c r="C27" s="22"/>
      <c r="D27" s="22"/>
      <c r="E27" s="22"/>
      <c r="F27" s="22"/>
      <c r="G27" s="22"/>
      <c r="H27" s="22"/>
      <c r="I27" s="22"/>
      <c r="J27" s="22"/>
      <c r="K27" s="22" t="s">
        <v>233</v>
      </c>
      <c r="L27" s="22"/>
      <c r="M27" s="22"/>
      <c r="N27" s="22"/>
      <c r="O27" s="30"/>
      <c r="P27" s="646"/>
    </row>
    <row r="28" spans="1:20" ht="15" hidden="1" customHeight="1">
      <c r="A28" s="52" t="s">
        <v>348</v>
      </c>
      <c r="B28" s="22"/>
      <c r="C28" s="22"/>
      <c r="D28" s="22"/>
      <c r="E28" s="22"/>
      <c r="F28" s="22"/>
      <c r="G28" s="22"/>
      <c r="H28" s="22"/>
      <c r="I28" s="22"/>
      <c r="J28" s="22"/>
      <c r="K28" s="22"/>
      <c r="L28" s="22"/>
      <c r="M28" s="22"/>
      <c r="N28" s="22"/>
      <c r="O28" s="30"/>
      <c r="P28" s="646"/>
    </row>
    <row r="29" spans="1:20" ht="15" hidden="1" customHeight="1">
      <c r="A29" s="53" t="s">
        <v>349</v>
      </c>
      <c r="B29" s="22"/>
      <c r="C29" s="22"/>
      <c r="D29" s="22"/>
      <c r="E29" s="22"/>
      <c r="F29" s="22"/>
      <c r="G29" s="22"/>
      <c r="H29" s="22"/>
      <c r="I29" s="22"/>
      <c r="J29" s="22"/>
      <c r="K29" s="22"/>
      <c r="L29" s="22"/>
      <c r="M29" s="22"/>
      <c r="N29" s="22"/>
      <c r="O29" s="30"/>
      <c r="P29" s="646"/>
    </row>
    <row r="30" spans="1:20" ht="15" hidden="1" customHeight="1">
      <c r="A30" s="54"/>
      <c r="B30" s="22"/>
      <c r="C30" s="22"/>
      <c r="D30" s="22"/>
      <c r="E30" s="22"/>
      <c r="F30" s="22"/>
      <c r="G30" s="22"/>
      <c r="H30" s="22"/>
      <c r="I30" s="22"/>
      <c r="J30" s="22"/>
      <c r="K30" s="22"/>
      <c r="L30" s="22"/>
      <c r="M30" s="22"/>
      <c r="N30" s="22"/>
      <c r="O30" s="30"/>
      <c r="P30" s="646"/>
    </row>
    <row r="31" spans="1:20" ht="15.75">
      <c r="A31" s="159" t="s">
        <v>352</v>
      </c>
      <c r="B31" s="716" t="s">
        <v>350</v>
      </c>
      <c r="C31" s="716"/>
      <c r="D31" s="716"/>
      <c r="E31" s="716"/>
      <c r="F31" s="716" t="s">
        <v>381</v>
      </c>
      <c r="G31" s="716"/>
      <c r="H31" s="716" t="s">
        <v>365</v>
      </c>
      <c r="I31" s="716"/>
      <c r="J31" s="716"/>
      <c r="K31" s="716"/>
      <c r="L31" s="716" t="s">
        <v>351</v>
      </c>
      <c r="M31" s="716"/>
      <c r="N31" s="716"/>
      <c r="O31" s="717"/>
      <c r="P31" s="646"/>
    </row>
    <row r="32" spans="1:20" ht="15.75">
      <c r="A32" s="160" t="s">
        <v>353</v>
      </c>
      <c r="B32" s="712" t="s">
        <v>502</v>
      </c>
      <c r="C32" s="712"/>
      <c r="D32" s="712"/>
      <c r="E32" s="712"/>
      <c r="F32" s="712" t="s">
        <v>605</v>
      </c>
      <c r="G32" s="712"/>
      <c r="H32" s="713">
        <v>42467</v>
      </c>
      <c r="I32" s="714"/>
      <c r="J32" s="714"/>
      <c r="K32" s="714"/>
      <c r="L32" s="714" t="s">
        <v>204</v>
      </c>
      <c r="M32" s="714"/>
      <c r="N32" s="714"/>
      <c r="O32" s="715"/>
      <c r="P32" s="646"/>
    </row>
    <row r="33" spans="1:16" ht="15.75">
      <c r="A33" s="160" t="s">
        <v>354</v>
      </c>
      <c r="B33" s="712" t="s">
        <v>502</v>
      </c>
      <c r="C33" s="712"/>
      <c r="D33" s="712"/>
      <c r="E33" s="712"/>
      <c r="F33" s="712" t="s">
        <v>606</v>
      </c>
      <c r="G33" s="712"/>
      <c r="H33" s="713">
        <v>42492</v>
      </c>
      <c r="I33" s="714"/>
      <c r="J33" s="714"/>
      <c r="K33" s="714"/>
      <c r="L33" s="714" t="s">
        <v>204</v>
      </c>
      <c r="M33" s="714"/>
      <c r="N33" s="714"/>
      <c r="O33" s="715"/>
      <c r="P33" s="646"/>
    </row>
    <row r="34" spans="1:16" ht="15.75">
      <c r="A34" s="160" t="s">
        <v>355</v>
      </c>
      <c r="B34" s="712" t="s">
        <v>502</v>
      </c>
      <c r="C34" s="712"/>
      <c r="D34" s="712"/>
      <c r="E34" s="712"/>
      <c r="F34" s="712" t="s">
        <v>607</v>
      </c>
      <c r="G34" s="712"/>
      <c r="H34" s="713">
        <v>42522</v>
      </c>
      <c r="I34" s="714"/>
      <c r="J34" s="714"/>
      <c r="K34" s="714"/>
      <c r="L34" s="714" t="s">
        <v>204</v>
      </c>
      <c r="M34" s="714"/>
      <c r="N34" s="714"/>
      <c r="O34" s="715"/>
      <c r="P34" s="646"/>
    </row>
    <row r="35" spans="1:16" ht="15.75">
      <c r="A35" s="160" t="s">
        <v>356</v>
      </c>
      <c r="B35" s="712" t="s">
        <v>502</v>
      </c>
      <c r="C35" s="712"/>
      <c r="D35" s="712"/>
      <c r="E35" s="712"/>
      <c r="F35" s="712" t="s">
        <v>502</v>
      </c>
      <c r="G35" s="712"/>
      <c r="H35" s="713" t="s">
        <v>389</v>
      </c>
      <c r="I35" s="714"/>
      <c r="J35" s="714"/>
      <c r="K35" s="714"/>
      <c r="L35" s="714" t="s">
        <v>204</v>
      </c>
      <c r="M35" s="714"/>
      <c r="N35" s="714"/>
      <c r="O35" s="715"/>
      <c r="P35" s="646"/>
    </row>
    <row r="36" spans="1:16" ht="15.75">
      <c r="A36" s="160" t="s">
        <v>357</v>
      </c>
      <c r="B36" s="712" t="s">
        <v>502</v>
      </c>
      <c r="C36" s="712"/>
      <c r="D36" s="712"/>
      <c r="E36" s="712"/>
      <c r="F36" s="712" t="s">
        <v>502</v>
      </c>
      <c r="G36" s="712"/>
      <c r="H36" s="713" t="s">
        <v>389</v>
      </c>
      <c r="I36" s="714"/>
      <c r="J36" s="714"/>
      <c r="K36" s="714"/>
      <c r="L36" s="714" t="s">
        <v>204</v>
      </c>
      <c r="M36" s="714"/>
      <c r="N36" s="714"/>
      <c r="O36" s="715"/>
      <c r="P36" s="646"/>
    </row>
    <row r="37" spans="1:16" ht="15.75">
      <c r="A37" s="160" t="s">
        <v>358</v>
      </c>
      <c r="B37" s="712" t="s">
        <v>502</v>
      </c>
      <c r="C37" s="712"/>
      <c r="D37" s="712"/>
      <c r="E37" s="712"/>
      <c r="F37" s="712" t="s">
        <v>502</v>
      </c>
      <c r="G37" s="712"/>
      <c r="H37" s="713" t="s">
        <v>389</v>
      </c>
      <c r="I37" s="714"/>
      <c r="J37" s="714"/>
      <c r="K37" s="714"/>
      <c r="L37" s="714" t="s">
        <v>204</v>
      </c>
      <c r="M37" s="714"/>
      <c r="N37" s="714"/>
      <c r="O37" s="715"/>
      <c r="P37" s="646"/>
    </row>
    <row r="38" spans="1:16" ht="15.75">
      <c r="A38" s="160" t="s">
        <v>359</v>
      </c>
      <c r="B38" s="712" t="s">
        <v>502</v>
      </c>
      <c r="C38" s="712"/>
      <c r="D38" s="712"/>
      <c r="E38" s="712"/>
      <c r="F38" s="712" t="s">
        <v>502</v>
      </c>
      <c r="G38" s="712"/>
      <c r="H38" s="713" t="s">
        <v>389</v>
      </c>
      <c r="I38" s="714"/>
      <c r="J38" s="714"/>
      <c r="K38" s="714"/>
      <c r="L38" s="714" t="s">
        <v>204</v>
      </c>
      <c r="M38" s="714"/>
      <c r="N38" s="714"/>
      <c r="O38" s="715"/>
      <c r="P38" s="646"/>
    </row>
    <row r="39" spans="1:16" ht="15.75">
      <c r="A39" s="160" t="s">
        <v>360</v>
      </c>
      <c r="B39" s="712" t="s">
        <v>502</v>
      </c>
      <c r="C39" s="712"/>
      <c r="D39" s="712"/>
      <c r="E39" s="712"/>
      <c r="F39" s="712" t="s">
        <v>502</v>
      </c>
      <c r="G39" s="712"/>
      <c r="H39" s="713" t="s">
        <v>389</v>
      </c>
      <c r="I39" s="714"/>
      <c r="J39" s="714"/>
      <c r="K39" s="714"/>
      <c r="L39" s="714" t="s">
        <v>204</v>
      </c>
      <c r="M39" s="714"/>
      <c r="N39" s="714"/>
      <c r="O39" s="715"/>
      <c r="P39" s="646"/>
    </row>
    <row r="40" spans="1:16" ht="15.75">
      <c r="A40" s="160" t="s">
        <v>361</v>
      </c>
      <c r="B40" s="712" t="s">
        <v>502</v>
      </c>
      <c r="C40" s="712"/>
      <c r="D40" s="712"/>
      <c r="E40" s="712"/>
      <c r="F40" s="712" t="s">
        <v>502</v>
      </c>
      <c r="G40" s="712"/>
      <c r="H40" s="713" t="s">
        <v>389</v>
      </c>
      <c r="I40" s="714"/>
      <c r="J40" s="714"/>
      <c r="K40" s="714"/>
      <c r="L40" s="714" t="s">
        <v>204</v>
      </c>
      <c r="M40" s="714"/>
      <c r="N40" s="714"/>
      <c r="O40" s="715"/>
      <c r="P40" s="646"/>
    </row>
    <row r="41" spans="1:16" ht="15.75">
      <c r="A41" s="160" t="s">
        <v>362</v>
      </c>
      <c r="B41" s="712" t="s">
        <v>502</v>
      </c>
      <c r="C41" s="712"/>
      <c r="D41" s="712"/>
      <c r="E41" s="712"/>
      <c r="F41" s="712" t="s">
        <v>502</v>
      </c>
      <c r="G41" s="712"/>
      <c r="H41" s="713" t="s">
        <v>389</v>
      </c>
      <c r="I41" s="714"/>
      <c r="J41" s="714"/>
      <c r="K41" s="714"/>
      <c r="L41" s="714" t="s">
        <v>204</v>
      </c>
      <c r="M41" s="714"/>
      <c r="N41" s="714"/>
      <c r="O41" s="715"/>
      <c r="P41" s="646"/>
    </row>
    <row r="42" spans="1:16" ht="15.75">
      <c r="A42" s="160" t="s">
        <v>363</v>
      </c>
      <c r="B42" s="712" t="s">
        <v>502</v>
      </c>
      <c r="C42" s="712"/>
      <c r="D42" s="712"/>
      <c r="E42" s="712"/>
      <c r="F42" s="712" t="s">
        <v>502</v>
      </c>
      <c r="G42" s="712"/>
      <c r="H42" s="713" t="s">
        <v>389</v>
      </c>
      <c r="I42" s="714"/>
      <c r="J42" s="714"/>
      <c r="K42" s="714"/>
      <c r="L42" s="714" t="s">
        <v>204</v>
      </c>
      <c r="M42" s="714"/>
      <c r="N42" s="714"/>
      <c r="O42" s="715"/>
      <c r="P42" s="646"/>
    </row>
    <row r="43" spans="1:16" ht="15.75">
      <c r="A43" s="160" t="s">
        <v>364</v>
      </c>
      <c r="B43" s="712" t="s">
        <v>502</v>
      </c>
      <c r="C43" s="712"/>
      <c r="D43" s="712"/>
      <c r="E43" s="712"/>
      <c r="F43" s="712" t="s">
        <v>502</v>
      </c>
      <c r="G43" s="712"/>
      <c r="H43" s="713" t="s">
        <v>389</v>
      </c>
      <c r="I43" s="714"/>
      <c r="J43" s="714"/>
      <c r="K43" s="714"/>
      <c r="L43" s="714" t="s">
        <v>204</v>
      </c>
      <c r="M43" s="714"/>
      <c r="N43" s="714"/>
      <c r="O43" s="715"/>
      <c r="P43" s="646"/>
    </row>
    <row r="44" spans="1:16" ht="15.75" thickBot="1">
      <c r="A44" s="718"/>
      <c r="B44" s="719"/>
      <c r="C44" s="719"/>
      <c r="D44" s="719"/>
      <c r="E44" s="719"/>
      <c r="F44" s="719"/>
      <c r="G44" s="719"/>
      <c r="H44" s="719"/>
      <c r="I44" s="719"/>
      <c r="J44" s="719"/>
      <c r="K44" s="719"/>
      <c r="L44" s="719"/>
      <c r="M44" s="719"/>
      <c r="N44" s="719"/>
      <c r="O44" s="720"/>
      <c r="P44" s="646"/>
    </row>
    <row r="45" spans="1:16">
      <c r="A45" s="647"/>
      <c r="B45" s="647"/>
      <c r="C45" s="647"/>
      <c r="D45" s="647"/>
      <c r="E45" s="647"/>
      <c r="F45" s="647"/>
      <c r="G45" s="647"/>
      <c r="H45" s="647"/>
      <c r="I45" s="647"/>
      <c r="J45" s="647"/>
      <c r="K45" s="647"/>
      <c r="L45" s="647"/>
      <c r="M45" s="647"/>
      <c r="N45" s="647"/>
      <c r="O45" s="647"/>
      <c r="P45" s="647"/>
    </row>
  </sheetData>
  <sheetProtection password="CC21" sheet="1" objects="1" scenarios="1" selectLockedCells="1"/>
  <mergeCells count="144">
    <mergeCell ref="A44:O44"/>
    <mergeCell ref="L39:O39"/>
    <mergeCell ref="L40:O40"/>
    <mergeCell ref="L41:O41"/>
    <mergeCell ref="L42:O42"/>
    <mergeCell ref="L43:O43"/>
    <mergeCell ref="L34:O34"/>
    <mergeCell ref="L35:O35"/>
    <mergeCell ref="L36:O36"/>
    <mergeCell ref="L37:O37"/>
    <mergeCell ref="L38:O38"/>
    <mergeCell ref="H39:K39"/>
    <mergeCell ref="H40:K40"/>
    <mergeCell ref="H41:K41"/>
    <mergeCell ref="H42:K42"/>
    <mergeCell ref="H43:K43"/>
    <mergeCell ref="H34:K34"/>
    <mergeCell ref="H35:K35"/>
    <mergeCell ref="H36:K36"/>
    <mergeCell ref="H37:K37"/>
    <mergeCell ref="H38:K38"/>
    <mergeCell ref="F39:G39"/>
    <mergeCell ref="F40:G40"/>
    <mergeCell ref="F41:G41"/>
    <mergeCell ref="F42:G42"/>
    <mergeCell ref="F43:G43"/>
    <mergeCell ref="F34:G34"/>
    <mergeCell ref="F35:G35"/>
    <mergeCell ref="F36:G36"/>
    <mergeCell ref="F37:G37"/>
    <mergeCell ref="F38:G38"/>
    <mergeCell ref="B39:E39"/>
    <mergeCell ref="B40:E40"/>
    <mergeCell ref="B41:E41"/>
    <mergeCell ref="B42:E42"/>
    <mergeCell ref="B43:E43"/>
    <mergeCell ref="B34:E34"/>
    <mergeCell ref="B35:E35"/>
    <mergeCell ref="B36:E36"/>
    <mergeCell ref="B37:E37"/>
    <mergeCell ref="B38:E38"/>
    <mergeCell ref="B32:E32"/>
    <mergeCell ref="F32:G32"/>
    <mergeCell ref="H32:K32"/>
    <mergeCell ref="L32:O32"/>
    <mergeCell ref="B33:E33"/>
    <mergeCell ref="F33:G33"/>
    <mergeCell ref="H33:K33"/>
    <mergeCell ref="L33:O33"/>
    <mergeCell ref="B31:E31"/>
    <mergeCell ref="F31:G31"/>
    <mergeCell ref="H31:K31"/>
    <mergeCell ref="L31:O31"/>
    <mergeCell ref="B25:E25"/>
    <mergeCell ref="F25:O25"/>
    <mergeCell ref="F4:O4"/>
    <mergeCell ref="A4:B4"/>
    <mergeCell ref="H2:H3"/>
    <mergeCell ref="F17:G17"/>
    <mergeCell ref="B24:E24"/>
    <mergeCell ref="F24:G24"/>
    <mergeCell ref="H24:K24"/>
    <mergeCell ref="L24:O24"/>
    <mergeCell ref="B20:E20"/>
    <mergeCell ref="H20:K20"/>
    <mergeCell ref="F20:G20"/>
    <mergeCell ref="M3:O3"/>
    <mergeCell ref="M2:O2"/>
    <mergeCell ref="L22:O22"/>
    <mergeCell ref="L23:O23"/>
    <mergeCell ref="B21:E21"/>
    <mergeCell ref="H21:K21"/>
    <mergeCell ref="B23:E23"/>
    <mergeCell ref="H23:K23"/>
    <mergeCell ref="B22:E22"/>
    <mergeCell ref="H22:K22"/>
    <mergeCell ref="F22:G22"/>
    <mergeCell ref="F23:G23"/>
    <mergeCell ref="F21:G21"/>
    <mergeCell ref="L20:O20"/>
    <mergeCell ref="L21:O21"/>
    <mergeCell ref="L18:O18"/>
    <mergeCell ref="L19:O19"/>
    <mergeCell ref="L16:O16"/>
    <mergeCell ref="L17:O17"/>
    <mergeCell ref="B19:E19"/>
    <mergeCell ref="H19:K19"/>
    <mergeCell ref="B18:E18"/>
    <mergeCell ref="H18:K18"/>
    <mergeCell ref="F18:G18"/>
    <mergeCell ref="F19:G19"/>
    <mergeCell ref="B17:E17"/>
    <mergeCell ref="H17:K17"/>
    <mergeCell ref="B16:E16"/>
    <mergeCell ref="H16:K16"/>
    <mergeCell ref="F16:G16"/>
    <mergeCell ref="L15:O15"/>
    <mergeCell ref="H12:K12"/>
    <mergeCell ref="B13:E13"/>
    <mergeCell ref="H13:K13"/>
    <mergeCell ref="B12:E12"/>
    <mergeCell ref="F12:G12"/>
    <mergeCell ref="F13:G13"/>
    <mergeCell ref="L12:O12"/>
    <mergeCell ref="L13:O13"/>
    <mergeCell ref="B15:E15"/>
    <mergeCell ref="H15:K15"/>
    <mergeCell ref="B14:E14"/>
    <mergeCell ref="H14:K14"/>
    <mergeCell ref="F14:G14"/>
    <mergeCell ref="F15:G15"/>
    <mergeCell ref="L8:O8"/>
    <mergeCell ref="L9:O9"/>
    <mergeCell ref="B10:E10"/>
    <mergeCell ref="H10:K10"/>
    <mergeCell ref="B11:E11"/>
    <mergeCell ref="H11:K11"/>
    <mergeCell ref="F10:G10"/>
    <mergeCell ref="F11:G11"/>
    <mergeCell ref="L14:O14"/>
    <mergeCell ref="B1:O1"/>
    <mergeCell ref="P1:P44"/>
    <mergeCell ref="A45:P45"/>
    <mergeCell ref="I3:L3"/>
    <mergeCell ref="I2:L2"/>
    <mergeCell ref="B2:G2"/>
    <mergeCell ref="B5:E5"/>
    <mergeCell ref="F7:G7"/>
    <mergeCell ref="L7:O7"/>
    <mergeCell ref="C4:E4"/>
    <mergeCell ref="B7:E7"/>
    <mergeCell ref="H7:K7"/>
    <mergeCell ref="C3:E3"/>
    <mergeCell ref="G5:O5"/>
    <mergeCell ref="G6:O6"/>
    <mergeCell ref="B6:E6"/>
    <mergeCell ref="L10:O10"/>
    <mergeCell ref="L11:O11"/>
    <mergeCell ref="B8:E8"/>
    <mergeCell ref="H8:K8"/>
    <mergeCell ref="B9:E9"/>
    <mergeCell ref="H9:K9"/>
    <mergeCell ref="F8:G8"/>
    <mergeCell ref="F9:G9"/>
  </mergeCells>
  <dataValidations count="3">
    <dataValidation type="list" allowBlank="1" showInputMessage="1" showErrorMessage="1" sqref="B25:E25">
      <formula1>$A$26:$A$29</formula1>
    </dataValidation>
    <dataValidation type="list" allowBlank="1" showInputMessage="1" showErrorMessage="1" sqref="L32:O43">
      <formula1>$K$26:$K$27</formula1>
    </dataValidation>
    <dataValidation type="list" showDropDown="1" showInputMessage="1" showErrorMessage="1" sqref="F25">
      <formula1>$A$26:$A$29</formula1>
    </dataValidation>
  </dataValidations>
  <hyperlinks>
    <hyperlink ref="A1" location="'I-Tax Master'!A1" tooltip=" " display="Back To Main Menu"/>
  </hyperlinks>
  <pageMargins left="0.7" right="0.7" top="0.75" bottom="0.75" header="0.3" footer="0.3"/>
  <pageSetup paperSize="9" orientation="portrait" verticalDpi="0" r:id="rId1"/>
  <ignoredErrors>
    <ignoredError sqref="F15 H15 L15 C12:O12 C16:O16 C23:E23 C32:E32 G23 I23:K23 M23:O23 C33:E33 G32 G33" numberStoredAsText="1"/>
  </ignoredErrors>
</worksheet>
</file>

<file path=xl/worksheets/sheet4.xml><?xml version="1.0" encoding="utf-8"?>
<worksheet xmlns="http://schemas.openxmlformats.org/spreadsheetml/2006/main" xmlns:r="http://schemas.openxmlformats.org/officeDocument/2006/relationships">
  <dimension ref="A1:AG31"/>
  <sheetViews>
    <sheetView workbookViewId="0">
      <pane xSplit="6" ySplit="8" topLeftCell="L9" activePane="bottomRight" state="frozen"/>
      <selection pane="topRight" activeCell="G1" sqref="G1"/>
      <selection pane="bottomLeft" activeCell="A9" sqref="A9"/>
      <selection pane="bottomRight" sqref="A1:B1"/>
    </sheetView>
  </sheetViews>
  <sheetFormatPr defaultColWidth="0" defaultRowHeight="15" zeroHeight="1"/>
  <cols>
    <col min="1" max="1" width="6" style="18" customWidth="1"/>
    <col min="2" max="2" width="35.28515625" style="18" customWidth="1"/>
    <col min="3" max="3" width="18.140625" style="18" customWidth="1"/>
    <col min="4" max="4" width="17.5703125" style="18" customWidth="1"/>
    <col min="5" max="5" width="17.28515625" style="18" customWidth="1"/>
    <col min="6" max="6" width="10.42578125" style="18" customWidth="1"/>
    <col min="7" max="7" width="15.7109375" style="18" customWidth="1"/>
    <col min="8" max="8" width="21.42578125" style="18" customWidth="1"/>
    <col min="9" max="9" width="25.140625" style="18" customWidth="1"/>
    <col min="10" max="10" width="16.28515625" style="18" customWidth="1"/>
    <col min="11" max="11" width="16.7109375" style="18" customWidth="1"/>
    <col min="12" max="12" width="15.42578125" style="18" customWidth="1"/>
    <col min="13" max="13" width="16" style="18" customWidth="1"/>
    <col min="14" max="14" width="16.42578125" style="18" customWidth="1"/>
    <col min="15" max="15" width="9.140625" style="18" customWidth="1"/>
    <col min="16" max="16" width="24.42578125" style="18" customWidth="1"/>
    <col min="17" max="17" width="0" style="18" hidden="1" customWidth="1"/>
    <col min="18" max="31" width="9.140625" style="18" hidden="1" customWidth="1"/>
    <col min="32" max="33" width="0" style="18" hidden="1" customWidth="1"/>
    <col min="34" max="16384" width="9.140625" style="18" hidden="1"/>
  </cols>
  <sheetData>
    <row r="1" spans="1:28" ht="23.25" customHeight="1" thickBot="1">
      <c r="A1" s="767" t="s">
        <v>403</v>
      </c>
      <c r="B1" s="767"/>
      <c r="C1" s="763"/>
      <c r="D1" s="763"/>
      <c r="E1" s="763"/>
      <c r="F1" s="763"/>
      <c r="G1" s="763"/>
      <c r="H1" s="763"/>
      <c r="I1" s="763"/>
      <c r="J1" s="763"/>
      <c r="K1" s="763"/>
      <c r="L1" s="763"/>
      <c r="M1" s="764"/>
      <c r="N1" s="762"/>
      <c r="O1" s="762"/>
      <c r="P1" s="762"/>
      <c r="Q1" s="64"/>
    </row>
    <row r="2" spans="1:28" ht="21.75" thickBot="1">
      <c r="A2" s="721" t="str">
        <f>'DDO '!A2</f>
        <v xml:space="preserve">Office Name:- </v>
      </c>
      <c r="B2" s="722"/>
      <c r="C2" s="723" t="str">
        <f>'DDO '!B2</f>
        <v>GOVT.SEC.SCHOOL DEWANI</v>
      </c>
      <c r="D2" s="724"/>
      <c r="E2" s="724"/>
      <c r="F2" s="725"/>
      <c r="G2" s="151"/>
      <c r="H2" s="759" t="s">
        <v>276</v>
      </c>
      <c r="I2" s="759"/>
      <c r="J2" s="730" t="s">
        <v>277</v>
      </c>
      <c r="K2" s="730"/>
      <c r="L2" s="730"/>
      <c r="M2" s="731"/>
      <c r="N2" s="762"/>
      <c r="O2" s="762"/>
      <c r="P2" s="762"/>
      <c r="Q2" s="40"/>
    </row>
    <row r="3" spans="1:28" ht="15.75" thickBot="1">
      <c r="A3" s="765"/>
      <c r="B3" s="765"/>
      <c r="C3" s="765"/>
      <c r="D3" s="765"/>
      <c r="E3" s="765"/>
      <c r="F3" s="765"/>
      <c r="G3" s="765"/>
      <c r="H3" s="765"/>
      <c r="I3" s="765"/>
      <c r="J3" s="765"/>
      <c r="K3" s="765"/>
      <c r="L3" s="765"/>
      <c r="M3" s="766"/>
      <c r="N3" s="762"/>
      <c r="O3" s="762"/>
      <c r="P3" s="762"/>
      <c r="Q3" s="23"/>
    </row>
    <row r="4" spans="1:28" ht="15" customHeight="1">
      <c r="A4" s="752" t="s">
        <v>208</v>
      </c>
      <c r="B4" s="746" t="s">
        <v>209</v>
      </c>
      <c r="C4" s="749" t="s">
        <v>214</v>
      </c>
      <c r="D4" s="746" t="s">
        <v>584</v>
      </c>
      <c r="E4" s="743" t="s">
        <v>234</v>
      </c>
      <c r="F4" s="746" t="s">
        <v>585</v>
      </c>
      <c r="G4" s="741" t="s">
        <v>583</v>
      </c>
      <c r="H4" s="746" t="s">
        <v>235</v>
      </c>
      <c r="I4" s="749" t="s">
        <v>236</v>
      </c>
      <c r="J4" s="734" t="s">
        <v>42</v>
      </c>
      <c r="K4" s="735"/>
      <c r="L4" s="735"/>
      <c r="M4" s="735"/>
      <c r="N4" s="736"/>
      <c r="O4" s="726" t="s">
        <v>256</v>
      </c>
      <c r="P4" s="727"/>
      <c r="Q4" s="761"/>
    </row>
    <row r="5" spans="1:28" ht="15" customHeight="1">
      <c r="A5" s="753"/>
      <c r="B5" s="747"/>
      <c r="C5" s="750"/>
      <c r="D5" s="747"/>
      <c r="E5" s="744"/>
      <c r="F5" s="747"/>
      <c r="G5" s="742"/>
      <c r="H5" s="747"/>
      <c r="I5" s="750"/>
      <c r="J5" s="739" t="s">
        <v>44</v>
      </c>
      <c r="K5" s="737" t="s">
        <v>45</v>
      </c>
      <c r="L5" s="739" t="s">
        <v>46</v>
      </c>
      <c r="M5" s="737" t="s">
        <v>47</v>
      </c>
      <c r="N5" s="732" t="s">
        <v>367</v>
      </c>
      <c r="O5" s="726"/>
      <c r="P5" s="727"/>
      <c r="Q5" s="761"/>
    </row>
    <row r="6" spans="1:28" ht="35.25" customHeight="1">
      <c r="A6" s="754"/>
      <c r="B6" s="748"/>
      <c r="C6" s="751"/>
      <c r="D6" s="748"/>
      <c r="E6" s="745"/>
      <c r="F6" s="748"/>
      <c r="G6" s="738"/>
      <c r="H6" s="748"/>
      <c r="I6" s="751"/>
      <c r="J6" s="740"/>
      <c r="K6" s="738"/>
      <c r="L6" s="740"/>
      <c r="M6" s="738"/>
      <c r="N6" s="733"/>
      <c r="O6" s="728"/>
      <c r="P6" s="729"/>
      <c r="Q6" s="761"/>
    </row>
    <row r="7" spans="1:28" ht="15" hidden="1" customHeight="1">
      <c r="A7" s="161"/>
      <c r="B7" s="13"/>
      <c r="C7" s="13"/>
      <c r="D7" s="13"/>
      <c r="E7" s="15"/>
      <c r="F7" s="13" t="s">
        <v>204</v>
      </c>
      <c r="G7" s="41"/>
      <c r="H7" s="42"/>
      <c r="I7" s="42"/>
      <c r="J7" s="43"/>
      <c r="K7" s="43"/>
      <c r="L7" s="43"/>
      <c r="M7" s="44"/>
      <c r="N7" s="45" t="s">
        <v>204</v>
      </c>
      <c r="O7" s="44"/>
      <c r="P7" s="162"/>
      <c r="Q7" s="761"/>
    </row>
    <row r="8" spans="1:28" ht="15" hidden="1" customHeight="1">
      <c r="A8" s="163"/>
      <c r="B8" s="14"/>
      <c r="C8" s="14"/>
      <c r="D8" s="14"/>
      <c r="E8" s="16"/>
      <c r="F8" s="46" t="s">
        <v>233</v>
      </c>
      <c r="G8" s="47"/>
      <c r="H8" s="48"/>
      <c r="I8" s="48"/>
      <c r="J8" s="44"/>
      <c r="K8" s="44"/>
      <c r="L8" s="44"/>
      <c r="M8" s="44"/>
      <c r="N8" s="45" t="s">
        <v>233</v>
      </c>
      <c r="O8" s="44"/>
      <c r="P8" s="162"/>
      <c r="Q8" s="761"/>
    </row>
    <row r="9" spans="1:28" ht="20.100000000000001" customHeight="1">
      <c r="A9" s="128">
        <v>1</v>
      </c>
      <c r="B9" s="170" t="s">
        <v>608</v>
      </c>
      <c r="C9" s="55" t="s">
        <v>609</v>
      </c>
      <c r="D9" s="172" t="s">
        <v>610</v>
      </c>
      <c r="E9" s="129">
        <v>21000</v>
      </c>
      <c r="F9" s="339" t="s">
        <v>204</v>
      </c>
      <c r="G9" s="56">
        <v>9928390871</v>
      </c>
      <c r="H9" s="340" t="s">
        <v>611</v>
      </c>
      <c r="I9" s="57" t="s">
        <v>612</v>
      </c>
      <c r="J9" s="58">
        <v>0</v>
      </c>
      <c r="K9" s="132" t="s">
        <v>500</v>
      </c>
      <c r="L9" s="59" t="s">
        <v>389</v>
      </c>
      <c r="M9" s="132" t="s">
        <v>502</v>
      </c>
      <c r="N9" s="129" t="s">
        <v>204</v>
      </c>
      <c r="O9" s="757" t="s">
        <v>392</v>
      </c>
      <c r="P9" s="758"/>
      <c r="Q9" s="761"/>
      <c r="AB9" s="150">
        <v>220</v>
      </c>
    </row>
    <row r="10" spans="1:28" ht="20.100000000000001" customHeight="1">
      <c r="A10" s="128">
        <v>2</v>
      </c>
      <c r="B10" s="170" t="s">
        <v>503</v>
      </c>
      <c r="C10" s="55" t="s">
        <v>30</v>
      </c>
      <c r="D10" s="172" t="s">
        <v>504</v>
      </c>
      <c r="E10" s="129">
        <v>25260</v>
      </c>
      <c r="F10" s="129" t="s">
        <v>233</v>
      </c>
      <c r="G10" s="56">
        <v>9414422048</v>
      </c>
      <c r="H10" s="132" t="s">
        <v>505</v>
      </c>
      <c r="I10" s="57" t="s">
        <v>506</v>
      </c>
      <c r="J10" s="58">
        <v>0</v>
      </c>
      <c r="K10" s="132" t="s">
        <v>500</v>
      </c>
      <c r="L10" s="59" t="s">
        <v>389</v>
      </c>
      <c r="M10" s="132" t="s">
        <v>502</v>
      </c>
      <c r="N10" s="129" t="s">
        <v>204</v>
      </c>
      <c r="O10" s="757" t="s">
        <v>392</v>
      </c>
      <c r="P10" s="758"/>
      <c r="Q10" s="761"/>
    </row>
    <row r="11" spans="1:28" ht="20.100000000000001" customHeight="1">
      <c r="A11" s="128">
        <v>3</v>
      </c>
      <c r="B11" s="170" t="s">
        <v>507</v>
      </c>
      <c r="C11" s="55" t="s">
        <v>30</v>
      </c>
      <c r="D11" s="172" t="s">
        <v>508</v>
      </c>
      <c r="E11" s="129">
        <v>24760</v>
      </c>
      <c r="F11" s="129" t="s">
        <v>233</v>
      </c>
      <c r="G11" s="56">
        <v>9001774423</v>
      </c>
      <c r="H11" s="132" t="s">
        <v>509</v>
      </c>
      <c r="I11" s="57" t="s">
        <v>510</v>
      </c>
      <c r="J11" s="58">
        <v>0</v>
      </c>
      <c r="K11" s="132" t="s">
        <v>500</v>
      </c>
      <c r="L11" s="59" t="s">
        <v>389</v>
      </c>
      <c r="M11" s="132" t="s">
        <v>502</v>
      </c>
      <c r="N11" s="129" t="s">
        <v>204</v>
      </c>
      <c r="O11" s="757" t="s">
        <v>392</v>
      </c>
      <c r="P11" s="758"/>
      <c r="Q11" s="761"/>
    </row>
    <row r="12" spans="1:28" ht="20.100000000000001" customHeight="1">
      <c r="A12" s="128">
        <v>4</v>
      </c>
      <c r="B12" s="170" t="s">
        <v>511</v>
      </c>
      <c r="C12" s="55" t="s">
        <v>30</v>
      </c>
      <c r="D12" s="172" t="s">
        <v>512</v>
      </c>
      <c r="E12" s="129">
        <v>23760</v>
      </c>
      <c r="F12" s="129" t="s">
        <v>233</v>
      </c>
      <c r="G12" s="56">
        <v>9784158682</v>
      </c>
      <c r="H12" s="132" t="s">
        <v>513</v>
      </c>
      <c r="I12" s="57" t="s">
        <v>514</v>
      </c>
      <c r="J12" s="58">
        <v>0</v>
      </c>
      <c r="K12" s="132" t="s">
        <v>500</v>
      </c>
      <c r="L12" s="59" t="s">
        <v>389</v>
      </c>
      <c r="M12" s="132" t="s">
        <v>502</v>
      </c>
      <c r="N12" s="129" t="s">
        <v>204</v>
      </c>
      <c r="O12" s="757" t="s">
        <v>392</v>
      </c>
      <c r="P12" s="758"/>
      <c r="Q12" s="761"/>
    </row>
    <row r="13" spans="1:28" ht="20.100000000000001" customHeight="1">
      <c r="A13" s="128">
        <v>5</v>
      </c>
      <c r="B13" s="170" t="s">
        <v>515</v>
      </c>
      <c r="C13" s="55" t="s">
        <v>30</v>
      </c>
      <c r="D13" s="172" t="s">
        <v>136</v>
      </c>
      <c r="E13" s="129">
        <v>23760</v>
      </c>
      <c r="F13" s="129" t="s">
        <v>233</v>
      </c>
      <c r="G13" s="56">
        <v>9460228621</v>
      </c>
      <c r="H13" s="132">
        <v>61081236062</v>
      </c>
      <c r="I13" s="57" t="s">
        <v>237</v>
      </c>
      <c r="J13" s="58">
        <v>0</v>
      </c>
      <c r="K13" s="132" t="s">
        <v>500</v>
      </c>
      <c r="L13" s="59" t="s">
        <v>389</v>
      </c>
      <c r="M13" s="132" t="s">
        <v>502</v>
      </c>
      <c r="N13" s="129" t="s">
        <v>204</v>
      </c>
      <c r="O13" s="757" t="s">
        <v>392</v>
      </c>
      <c r="P13" s="758"/>
      <c r="Q13" s="761"/>
    </row>
    <row r="14" spans="1:28" ht="20.100000000000001" customHeight="1">
      <c r="A14" s="128">
        <v>6</v>
      </c>
      <c r="B14" s="170" t="s">
        <v>516</v>
      </c>
      <c r="C14" s="55" t="s">
        <v>30</v>
      </c>
      <c r="D14" s="172" t="s">
        <v>517</v>
      </c>
      <c r="E14" s="129">
        <v>23290</v>
      </c>
      <c r="F14" s="129" t="s">
        <v>233</v>
      </c>
      <c r="G14" s="56">
        <v>9785340293</v>
      </c>
      <c r="H14" s="132" t="s">
        <v>518</v>
      </c>
      <c r="I14" s="57" t="s">
        <v>501</v>
      </c>
      <c r="J14" s="58">
        <v>0</v>
      </c>
      <c r="K14" s="132" t="s">
        <v>500</v>
      </c>
      <c r="L14" s="59" t="s">
        <v>389</v>
      </c>
      <c r="M14" s="132" t="s">
        <v>502</v>
      </c>
      <c r="N14" s="129" t="s">
        <v>204</v>
      </c>
      <c r="O14" s="757" t="s">
        <v>392</v>
      </c>
      <c r="P14" s="758"/>
      <c r="Q14" s="761"/>
    </row>
    <row r="15" spans="1:28" ht="20.100000000000001" customHeight="1">
      <c r="A15" s="128">
        <v>7</v>
      </c>
      <c r="B15" s="170" t="s">
        <v>519</v>
      </c>
      <c r="C15" s="55" t="s">
        <v>30</v>
      </c>
      <c r="D15" s="172" t="s">
        <v>520</v>
      </c>
      <c r="E15" s="129">
        <v>21050</v>
      </c>
      <c r="F15" s="129" t="s">
        <v>233</v>
      </c>
      <c r="G15" s="56">
        <v>9828052270</v>
      </c>
      <c r="H15" s="132" t="s">
        <v>521</v>
      </c>
      <c r="I15" s="57" t="s">
        <v>522</v>
      </c>
      <c r="J15" s="58">
        <v>0</v>
      </c>
      <c r="K15" s="132" t="s">
        <v>500</v>
      </c>
      <c r="L15" s="59" t="s">
        <v>389</v>
      </c>
      <c r="M15" s="132" t="s">
        <v>502</v>
      </c>
      <c r="N15" s="129" t="s">
        <v>204</v>
      </c>
      <c r="O15" s="757" t="s">
        <v>392</v>
      </c>
      <c r="P15" s="758"/>
      <c r="Q15" s="761"/>
    </row>
    <row r="16" spans="1:28" ht="20.100000000000001" customHeight="1">
      <c r="A16" s="128">
        <v>8</v>
      </c>
      <c r="B16" s="170" t="s">
        <v>523</v>
      </c>
      <c r="C16" s="55" t="s">
        <v>30</v>
      </c>
      <c r="D16" s="172" t="s">
        <v>524</v>
      </c>
      <c r="E16" s="129">
        <v>20700</v>
      </c>
      <c r="F16" s="129" t="s">
        <v>204</v>
      </c>
      <c r="G16" s="56">
        <v>9461249175</v>
      </c>
      <c r="H16" s="132" t="s">
        <v>525</v>
      </c>
      <c r="I16" s="57" t="s">
        <v>506</v>
      </c>
      <c r="J16" s="58">
        <v>0</v>
      </c>
      <c r="K16" s="132" t="s">
        <v>500</v>
      </c>
      <c r="L16" s="59" t="s">
        <v>389</v>
      </c>
      <c r="M16" s="132" t="s">
        <v>502</v>
      </c>
      <c r="N16" s="129" t="s">
        <v>204</v>
      </c>
      <c r="O16" s="757" t="s">
        <v>392</v>
      </c>
      <c r="P16" s="758"/>
      <c r="Q16" s="761"/>
    </row>
    <row r="17" spans="1:17" ht="20.100000000000001" customHeight="1">
      <c r="A17" s="128">
        <v>9</v>
      </c>
      <c r="B17" s="170" t="s">
        <v>526</v>
      </c>
      <c r="C17" s="55" t="s">
        <v>30</v>
      </c>
      <c r="D17" s="172" t="s">
        <v>527</v>
      </c>
      <c r="E17" s="129">
        <v>19900</v>
      </c>
      <c r="F17" s="129" t="s">
        <v>204</v>
      </c>
      <c r="G17" s="56">
        <v>9772927694</v>
      </c>
      <c r="H17" s="132" t="s">
        <v>528</v>
      </c>
      <c r="I17" s="57" t="s">
        <v>506</v>
      </c>
      <c r="J17" s="58">
        <v>0</v>
      </c>
      <c r="K17" s="132" t="s">
        <v>500</v>
      </c>
      <c r="L17" s="59" t="s">
        <v>389</v>
      </c>
      <c r="M17" s="132" t="s">
        <v>502</v>
      </c>
      <c r="N17" s="129" t="s">
        <v>204</v>
      </c>
      <c r="O17" s="757" t="s">
        <v>392</v>
      </c>
      <c r="P17" s="758"/>
      <c r="Q17" s="761"/>
    </row>
    <row r="18" spans="1:17" ht="20.100000000000001" customHeight="1">
      <c r="A18" s="128">
        <v>10</v>
      </c>
      <c r="B18" s="170" t="s">
        <v>529</v>
      </c>
      <c r="C18" s="55" t="s">
        <v>30</v>
      </c>
      <c r="D18" s="172" t="s">
        <v>530</v>
      </c>
      <c r="E18" s="129">
        <v>19320</v>
      </c>
      <c r="F18" s="129" t="s">
        <v>204</v>
      </c>
      <c r="G18" s="56">
        <v>9887415532</v>
      </c>
      <c r="H18" s="132" t="s">
        <v>531</v>
      </c>
      <c r="I18" s="57" t="s">
        <v>522</v>
      </c>
      <c r="J18" s="58">
        <v>0</v>
      </c>
      <c r="K18" s="132" t="s">
        <v>500</v>
      </c>
      <c r="L18" s="59" t="s">
        <v>389</v>
      </c>
      <c r="M18" s="132" t="s">
        <v>502</v>
      </c>
      <c r="N18" s="129" t="s">
        <v>204</v>
      </c>
      <c r="O18" s="757" t="s">
        <v>392</v>
      </c>
      <c r="P18" s="758"/>
      <c r="Q18" s="761"/>
    </row>
    <row r="19" spans="1:17" ht="20.100000000000001" customHeight="1">
      <c r="A19" s="128">
        <v>11</v>
      </c>
      <c r="B19" s="170" t="s">
        <v>532</v>
      </c>
      <c r="C19" s="55" t="s">
        <v>212</v>
      </c>
      <c r="D19" s="172" t="s">
        <v>533</v>
      </c>
      <c r="E19" s="129">
        <v>25510</v>
      </c>
      <c r="F19" s="129" t="s">
        <v>233</v>
      </c>
      <c r="G19" s="56">
        <v>9413175251</v>
      </c>
      <c r="H19" s="132" t="s">
        <v>534</v>
      </c>
      <c r="I19" s="57" t="s">
        <v>535</v>
      </c>
      <c r="J19" s="58">
        <v>0</v>
      </c>
      <c r="K19" s="132" t="s">
        <v>500</v>
      </c>
      <c r="L19" s="59" t="s">
        <v>389</v>
      </c>
      <c r="M19" s="132" t="s">
        <v>502</v>
      </c>
      <c r="N19" s="129" t="s">
        <v>204</v>
      </c>
      <c r="O19" s="757" t="s">
        <v>392</v>
      </c>
      <c r="P19" s="758"/>
      <c r="Q19" s="761"/>
    </row>
    <row r="20" spans="1:17" ht="20.100000000000001" customHeight="1">
      <c r="A20" s="128">
        <v>12</v>
      </c>
      <c r="B20" s="170" t="s">
        <v>536</v>
      </c>
      <c r="C20" s="55" t="s">
        <v>212</v>
      </c>
      <c r="D20" s="172" t="s">
        <v>537</v>
      </c>
      <c r="E20" s="129">
        <v>25460</v>
      </c>
      <c r="F20" s="129" t="s">
        <v>233</v>
      </c>
      <c r="G20" s="56">
        <v>9509114321</v>
      </c>
      <c r="H20" s="132" t="s">
        <v>538</v>
      </c>
      <c r="I20" s="57" t="s">
        <v>510</v>
      </c>
      <c r="J20" s="58">
        <v>0</v>
      </c>
      <c r="K20" s="132" t="s">
        <v>500</v>
      </c>
      <c r="L20" s="59" t="s">
        <v>389</v>
      </c>
      <c r="M20" s="132" t="s">
        <v>502</v>
      </c>
      <c r="N20" s="129" t="s">
        <v>204</v>
      </c>
      <c r="O20" s="757" t="s">
        <v>392</v>
      </c>
      <c r="P20" s="758"/>
      <c r="Q20" s="761"/>
    </row>
    <row r="21" spans="1:17" ht="20.100000000000001" customHeight="1">
      <c r="A21" s="128">
        <v>13</v>
      </c>
      <c r="B21" s="170" t="s">
        <v>539</v>
      </c>
      <c r="C21" s="55" t="s">
        <v>212</v>
      </c>
      <c r="D21" s="172" t="s">
        <v>540</v>
      </c>
      <c r="E21" s="129">
        <v>25260</v>
      </c>
      <c r="F21" s="129" t="s">
        <v>233</v>
      </c>
      <c r="G21" s="56">
        <v>0</v>
      </c>
      <c r="H21" s="132" t="s">
        <v>541</v>
      </c>
      <c r="I21" s="57" t="s">
        <v>506</v>
      </c>
      <c r="J21" s="58">
        <v>0</v>
      </c>
      <c r="K21" s="132" t="s">
        <v>500</v>
      </c>
      <c r="L21" s="59" t="s">
        <v>389</v>
      </c>
      <c r="M21" s="132" t="s">
        <v>502</v>
      </c>
      <c r="N21" s="129" t="s">
        <v>204</v>
      </c>
      <c r="O21" s="757" t="s">
        <v>392</v>
      </c>
      <c r="P21" s="758"/>
      <c r="Q21" s="761"/>
    </row>
    <row r="22" spans="1:17" ht="20.100000000000001" customHeight="1">
      <c r="A22" s="128">
        <v>14</v>
      </c>
      <c r="B22" s="170" t="s">
        <v>542</v>
      </c>
      <c r="C22" s="55" t="s">
        <v>212</v>
      </c>
      <c r="D22" s="172" t="s">
        <v>543</v>
      </c>
      <c r="E22" s="129">
        <v>21400</v>
      </c>
      <c r="F22" s="129" t="s">
        <v>233</v>
      </c>
      <c r="G22" s="56">
        <v>9672695074</v>
      </c>
      <c r="H22" s="132" t="s">
        <v>544</v>
      </c>
      <c r="I22" s="57" t="s">
        <v>506</v>
      </c>
      <c r="J22" s="58">
        <v>0</v>
      </c>
      <c r="K22" s="132" t="s">
        <v>500</v>
      </c>
      <c r="L22" s="59" t="s">
        <v>389</v>
      </c>
      <c r="M22" s="132" t="s">
        <v>502</v>
      </c>
      <c r="N22" s="129" t="s">
        <v>204</v>
      </c>
      <c r="O22" s="757" t="s">
        <v>392</v>
      </c>
      <c r="P22" s="758"/>
      <c r="Q22" s="761"/>
    </row>
    <row r="23" spans="1:17" ht="20.100000000000001" customHeight="1">
      <c r="A23" s="128">
        <v>15</v>
      </c>
      <c r="B23" s="170" t="s">
        <v>545</v>
      </c>
      <c r="C23" s="55" t="s">
        <v>546</v>
      </c>
      <c r="D23" s="172" t="s">
        <v>547</v>
      </c>
      <c r="E23" s="129">
        <v>23650</v>
      </c>
      <c r="F23" s="129" t="s">
        <v>233</v>
      </c>
      <c r="G23" s="56">
        <v>9461250476</v>
      </c>
      <c r="H23" s="132" t="s">
        <v>548</v>
      </c>
      <c r="I23" s="57" t="s">
        <v>506</v>
      </c>
      <c r="J23" s="58">
        <v>0</v>
      </c>
      <c r="K23" s="132" t="s">
        <v>500</v>
      </c>
      <c r="L23" s="59" t="s">
        <v>389</v>
      </c>
      <c r="M23" s="132" t="s">
        <v>502</v>
      </c>
      <c r="N23" s="129" t="s">
        <v>204</v>
      </c>
      <c r="O23" s="757" t="s">
        <v>392</v>
      </c>
      <c r="P23" s="758"/>
      <c r="Q23" s="761"/>
    </row>
    <row r="24" spans="1:17" ht="20.100000000000001" customHeight="1">
      <c r="A24" s="128">
        <v>16</v>
      </c>
      <c r="B24" s="170" t="s">
        <v>549</v>
      </c>
      <c r="C24" s="55" t="s">
        <v>550</v>
      </c>
      <c r="D24" s="172" t="s">
        <v>551</v>
      </c>
      <c r="E24" s="129">
        <v>16320</v>
      </c>
      <c r="F24" s="129" t="s">
        <v>233</v>
      </c>
      <c r="G24" s="56">
        <v>9414394961</v>
      </c>
      <c r="H24" s="132" t="s">
        <v>552</v>
      </c>
      <c r="I24" s="57" t="s">
        <v>510</v>
      </c>
      <c r="J24" s="58">
        <v>0</v>
      </c>
      <c r="K24" s="132" t="s">
        <v>500</v>
      </c>
      <c r="L24" s="59" t="s">
        <v>389</v>
      </c>
      <c r="M24" s="132" t="s">
        <v>502</v>
      </c>
      <c r="N24" s="129" t="s">
        <v>204</v>
      </c>
      <c r="O24" s="757" t="s">
        <v>392</v>
      </c>
      <c r="P24" s="758"/>
      <c r="Q24" s="761"/>
    </row>
    <row r="25" spans="1:17" ht="20.100000000000001" customHeight="1">
      <c r="A25" s="128">
        <v>17</v>
      </c>
      <c r="B25" s="170" t="s">
        <v>553</v>
      </c>
      <c r="C25" s="55" t="s">
        <v>550</v>
      </c>
      <c r="D25" s="172" t="s">
        <v>210</v>
      </c>
      <c r="E25" s="129">
        <v>15210</v>
      </c>
      <c r="F25" s="129" t="s">
        <v>233</v>
      </c>
      <c r="G25" s="56">
        <v>9024708918</v>
      </c>
      <c r="H25" s="132" t="s">
        <v>554</v>
      </c>
      <c r="I25" s="57" t="s">
        <v>510</v>
      </c>
      <c r="J25" s="58">
        <v>0</v>
      </c>
      <c r="K25" s="132" t="s">
        <v>500</v>
      </c>
      <c r="L25" s="59" t="s">
        <v>389</v>
      </c>
      <c r="M25" s="132" t="s">
        <v>502</v>
      </c>
      <c r="N25" s="129" t="s">
        <v>204</v>
      </c>
      <c r="O25" s="757" t="s">
        <v>392</v>
      </c>
      <c r="P25" s="758"/>
      <c r="Q25" s="761"/>
    </row>
    <row r="26" spans="1:17" ht="20.100000000000001" customHeight="1">
      <c r="A26" s="128">
        <v>18</v>
      </c>
      <c r="B26" s="170" t="s">
        <v>555</v>
      </c>
      <c r="C26" s="55" t="s">
        <v>211</v>
      </c>
      <c r="D26" s="172" t="s">
        <v>556</v>
      </c>
      <c r="E26" s="129">
        <v>12940</v>
      </c>
      <c r="F26" s="129" t="s">
        <v>233</v>
      </c>
      <c r="G26" s="56">
        <v>7597440273</v>
      </c>
      <c r="H26" s="132" t="s">
        <v>557</v>
      </c>
      <c r="I26" s="57" t="s">
        <v>237</v>
      </c>
      <c r="J26" s="58">
        <v>0</v>
      </c>
      <c r="K26" s="132" t="s">
        <v>500</v>
      </c>
      <c r="L26" s="59" t="s">
        <v>389</v>
      </c>
      <c r="M26" s="132" t="s">
        <v>502</v>
      </c>
      <c r="N26" s="129" t="s">
        <v>204</v>
      </c>
      <c r="O26" s="757" t="s">
        <v>392</v>
      </c>
      <c r="P26" s="758"/>
      <c r="Q26" s="761"/>
    </row>
    <row r="27" spans="1:17" ht="20.100000000000001" customHeight="1">
      <c r="A27" s="128">
        <v>19</v>
      </c>
      <c r="B27" s="170" t="s">
        <v>558</v>
      </c>
      <c r="C27" s="55" t="s">
        <v>211</v>
      </c>
      <c r="D27" s="172" t="s">
        <v>559</v>
      </c>
      <c r="E27" s="129">
        <v>10450</v>
      </c>
      <c r="F27" s="129" t="s">
        <v>204</v>
      </c>
      <c r="G27" s="56">
        <v>9828318460</v>
      </c>
      <c r="H27" s="132" t="s">
        <v>560</v>
      </c>
      <c r="I27" s="57" t="s">
        <v>506</v>
      </c>
      <c r="J27" s="58">
        <v>0</v>
      </c>
      <c r="K27" s="132" t="s">
        <v>500</v>
      </c>
      <c r="L27" s="59" t="s">
        <v>389</v>
      </c>
      <c r="M27" s="132" t="s">
        <v>502</v>
      </c>
      <c r="N27" s="129" t="s">
        <v>204</v>
      </c>
      <c r="O27" s="757" t="s">
        <v>392</v>
      </c>
      <c r="P27" s="758"/>
      <c r="Q27" s="761"/>
    </row>
    <row r="28" spans="1:17" ht="20.100000000000001" customHeight="1" thickBot="1">
      <c r="A28" s="131">
        <v>20</v>
      </c>
      <c r="B28" s="171" t="s">
        <v>561</v>
      </c>
      <c r="C28" s="164" t="s">
        <v>562</v>
      </c>
      <c r="D28" s="173" t="s">
        <v>563</v>
      </c>
      <c r="E28" s="130">
        <v>10940</v>
      </c>
      <c r="F28" s="130" t="s">
        <v>233</v>
      </c>
      <c r="G28" s="165">
        <v>9828662685</v>
      </c>
      <c r="H28" s="166" t="s">
        <v>564</v>
      </c>
      <c r="I28" s="167" t="s">
        <v>506</v>
      </c>
      <c r="J28" s="168">
        <v>0</v>
      </c>
      <c r="K28" s="166" t="s">
        <v>500</v>
      </c>
      <c r="L28" s="169" t="s">
        <v>389</v>
      </c>
      <c r="M28" s="166" t="s">
        <v>502</v>
      </c>
      <c r="N28" s="130" t="s">
        <v>204</v>
      </c>
      <c r="O28" s="755" t="s">
        <v>392</v>
      </c>
      <c r="P28" s="756"/>
      <c r="Q28" s="761"/>
    </row>
    <row r="29" spans="1:17">
      <c r="A29" s="760"/>
      <c r="B29" s="760"/>
      <c r="C29" s="760"/>
      <c r="D29" s="760"/>
      <c r="E29" s="760"/>
      <c r="F29" s="760"/>
      <c r="G29" s="760"/>
      <c r="H29" s="760"/>
      <c r="I29" s="760"/>
      <c r="J29" s="760"/>
      <c r="K29" s="760"/>
      <c r="L29" s="760"/>
      <c r="M29" s="760"/>
      <c r="N29" s="760"/>
      <c r="O29" s="760"/>
      <c r="P29" s="760"/>
      <c r="Q29" s="760"/>
    </row>
    <row r="30" spans="1:17" hidden="1">
      <c r="A30" s="40"/>
      <c r="B30" s="40"/>
      <c r="C30" s="40"/>
      <c r="D30" s="40"/>
      <c r="E30" s="40"/>
      <c r="F30" s="40"/>
      <c r="G30" s="49"/>
      <c r="H30" s="49"/>
      <c r="I30" s="12"/>
      <c r="J30" s="22"/>
      <c r="K30" s="22"/>
    </row>
    <row r="31" spans="1:17" hidden="1">
      <c r="A31" s="40"/>
      <c r="B31" s="40"/>
      <c r="C31" s="40"/>
      <c r="D31" s="40"/>
      <c r="E31" s="40"/>
      <c r="F31" s="40"/>
      <c r="G31" s="22"/>
      <c r="H31" s="22"/>
      <c r="I31" s="22"/>
      <c r="J31" s="22"/>
      <c r="K31" s="22"/>
    </row>
  </sheetData>
  <sheetProtection password="CC21" sheet="1" objects="1" scenarios="1" selectLockedCells="1"/>
  <dataConsolidate/>
  <mergeCells count="46">
    <mergeCell ref="H2:I2"/>
    <mergeCell ref="J5:J6"/>
    <mergeCell ref="A29:Q29"/>
    <mergeCell ref="Q4:Q28"/>
    <mergeCell ref="N1:P3"/>
    <mergeCell ref="C1:M1"/>
    <mergeCell ref="A3:M3"/>
    <mergeCell ref="A1:B1"/>
    <mergeCell ref="O19:P19"/>
    <mergeCell ref="O20:P20"/>
    <mergeCell ref="O26:P26"/>
    <mergeCell ref="O27:P27"/>
    <mergeCell ref="O14:P14"/>
    <mergeCell ref="O15:P15"/>
    <mergeCell ref="O16:P16"/>
    <mergeCell ref="O17:P17"/>
    <mergeCell ref="B4:B6"/>
    <mergeCell ref="F4:F6"/>
    <mergeCell ref="O28:P28"/>
    <mergeCell ref="O21:P21"/>
    <mergeCell ref="O22:P22"/>
    <mergeCell ref="O23:P23"/>
    <mergeCell ref="O24:P24"/>
    <mergeCell ref="O25:P25"/>
    <mergeCell ref="O10:P10"/>
    <mergeCell ref="O11:P11"/>
    <mergeCell ref="O12:P12"/>
    <mergeCell ref="O13:P13"/>
    <mergeCell ref="O18:P18"/>
    <mergeCell ref="O9:P9"/>
    <mergeCell ref="A2:B2"/>
    <mergeCell ref="C2:F2"/>
    <mergeCell ref="O4:P6"/>
    <mergeCell ref="J2:M2"/>
    <mergeCell ref="N5:N6"/>
    <mergeCell ref="J4:N4"/>
    <mergeCell ref="K5:K6"/>
    <mergeCell ref="L5:L6"/>
    <mergeCell ref="G4:G6"/>
    <mergeCell ref="E4:E6"/>
    <mergeCell ref="H4:H6"/>
    <mergeCell ref="I4:I6"/>
    <mergeCell ref="M5:M6"/>
    <mergeCell ref="A4:A6"/>
    <mergeCell ref="C4:C6"/>
    <mergeCell ref="D4:D6"/>
  </mergeCells>
  <dataValidations count="2">
    <dataValidation type="list" allowBlank="1" showInputMessage="1" showErrorMessage="1" sqref="F9:F28">
      <formula1>$F$7:$F$8</formula1>
    </dataValidation>
    <dataValidation type="list" allowBlank="1" showInputMessage="1" showErrorMessage="1" sqref="N9:N28">
      <formula1>$N$7:$N$8</formula1>
    </dataValidation>
  </dataValidations>
  <hyperlinks>
    <hyperlink ref="A1:B1" location="'I-Tax Master'!A1" tooltip=" " display="Back To Main Menu"/>
  </hyperlinks>
  <pageMargins left="0.7" right="0.7" top="0.75" bottom="0.75" header="0.3" footer="0.3"/>
  <pageSetup paperSize="9" orientation="portrait" verticalDpi="0" r:id="rId1"/>
  <ignoredErrors>
    <ignoredError sqref="H10:H28 K9:K28 M9:M28" numberStoredAsText="1"/>
    <ignoredError sqref="C2 A2" unlockedFormula="1"/>
  </ignoredErrors>
</worksheet>
</file>

<file path=xl/worksheets/sheet5.xml><?xml version="1.0" encoding="utf-8"?>
<worksheet xmlns="http://schemas.openxmlformats.org/spreadsheetml/2006/main" xmlns:r="http://schemas.openxmlformats.org/officeDocument/2006/relationships">
  <dimension ref="A1:AN150"/>
  <sheetViews>
    <sheetView tabSelected="1" view="pageBreakPreview" topLeftCell="J43" zoomScaleSheetLayoutView="100" workbookViewId="0">
      <selection activeCell="O32" sqref="O32"/>
    </sheetView>
  </sheetViews>
  <sheetFormatPr defaultColWidth="0" defaultRowHeight="15" zeroHeight="1"/>
  <cols>
    <col min="1" max="1" width="4.140625" style="50" customWidth="1"/>
    <col min="2" max="2" width="9.85546875" style="50" customWidth="1"/>
    <col min="3" max="3" width="10" style="50" customWidth="1"/>
    <col min="4" max="4" width="9.140625" style="50" customWidth="1"/>
    <col min="5" max="5" width="10.42578125" style="50" hidden="1" customWidth="1"/>
    <col min="6" max="6" width="8.28515625" style="50" customWidth="1"/>
    <col min="7" max="7" width="8.140625" style="50" customWidth="1"/>
    <col min="8" max="8" width="9" style="50" customWidth="1"/>
    <col min="9" max="9" width="8.5703125" style="50" customWidth="1"/>
    <col min="10" max="10" width="8.28515625" style="50" customWidth="1"/>
    <col min="11" max="11" width="8" style="50" hidden="1" customWidth="1"/>
    <col min="12" max="12" width="8.140625" style="50" customWidth="1"/>
    <col min="13" max="14" width="8.28515625" style="50" customWidth="1"/>
    <col min="15" max="15" width="8.42578125" style="50" customWidth="1"/>
    <col min="16" max="16" width="8.140625" style="50" customWidth="1"/>
    <col min="17" max="17" width="12.5703125" style="50" customWidth="1"/>
    <col min="18" max="18" width="0.85546875" style="50" customWidth="1"/>
    <col min="19" max="21" width="9.140625" style="50" customWidth="1"/>
    <col min="22" max="22" width="11.42578125" style="50" customWidth="1"/>
    <col min="23" max="30" width="9.140625" style="50" customWidth="1"/>
    <col min="31" max="31" width="11.140625" style="50" customWidth="1"/>
    <col min="32" max="32" width="0.140625" style="50" customWidth="1"/>
    <col min="33" max="33" width="0.85546875" customWidth="1"/>
    <col min="34" max="35" width="9.140625" hidden="1" customWidth="1"/>
    <col min="36" max="36" width="9.5703125" hidden="1" customWidth="1"/>
    <col min="37" max="16384" width="9.140625" hidden="1"/>
  </cols>
  <sheetData>
    <row r="1" spans="1:39" s="278" customFormat="1" ht="20.100000000000001" customHeight="1" thickBot="1">
      <c r="A1" s="1229" t="s">
        <v>403</v>
      </c>
      <c r="B1" s="1230"/>
      <c r="C1" s="1230"/>
      <c r="D1" s="1231"/>
      <c r="E1" s="276"/>
      <c r="F1" s="276"/>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7"/>
      <c r="AG1" s="276"/>
    </row>
    <row r="2" spans="1:39" s="1" customFormat="1"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40"/>
    </row>
    <row r="3" spans="1:39" s="1" customFormat="1"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960" t="str">
        <f>D4</f>
        <v>MADAN LAL PILANIYA</v>
      </c>
      <c r="T3" s="961"/>
      <c r="U3" s="961"/>
      <c r="V3" s="962"/>
      <c r="W3" s="949" t="str">
        <f>P4</f>
        <v>HEADMASTER</v>
      </c>
      <c r="X3" s="949"/>
      <c r="Y3" s="949"/>
      <c r="Z3" s="949"/>
      <c r="AA3" s="949" t="str">
        <f>'Emp.-Detail'!J2</f>
        <v>Govt. PCB Sr. Sec. Sujangarh(Churu)</v>
      </c>
      <c r="AB3" s="949"/>
      <c r="AC3" s="949"/>
      <c r="AD3" s="949"/>
      <c r="AE3" s="949"/>
      <c r="AF3" s="950"/>
      <c r="AG3" s="40"/>
    </row>
    <row r="4" spans="1:39" s="1" customFormat="1" ht="19.5" customHeight="1">
      <c r="A4" s="954" t="s">
        <v>9</v>
      </c>
      <c r="B4" s="833"/>
      <c r="C4" s="833"/>
      <c r="D4" s="949" t="str">
        <f>'Emp.-Detail'!B9</f>
        <v>MADAN LAL PILANIYA</v>
      </c>
      <c r="E4" s="949"/>
      <c r="F4" s="949"/>
      <c r="G4" s="949"/>
      <c r="H4" s="949"/>
      <c r="I4" s="854"/>
      <c r="J4" s="1185">
        <f>'Emp.-Detail'!A9</f>
        <v>1</v>
      </c>
      <c r="K4" s="1186"/>
      <c r="L4" s="1187"/>
      <c r="M4" s="982" t="s">
        <v>8</v>
      </c>
      <c r="N4" s="833"/>
      <c r="O4" s="833"/>
      <c r="P4" s="949" t="str">
        <f>'Emp.-Detail'!C9</f>
        <v>HEADMASTER</v>
      </c>
      <c r="Q4" s="950"/>
      <c r="R4" s="50"/>
      <c r="S4" s="963" t="str">
        <f>D5</f>
        <v>AQPPP7545Q</v>
      </c>
      <c r="T4" s="855"/>
      <c r="U4" s="855"/>
      <c r="V4" s="964"/>
      <c r="W4" s="959" t="str">
        <f>'Emp.-Detail'!H9</f>
        <v>61043651685</v>
      </c>
      <c r="X4" s="949"/>
      <c r="Y4" s="949"/>
      <c r="Z4" s="949"/>
      <c r="AA4" s="949" t="str">
        <f>'Emp.-Detail'!I9</f>
        <v>SBBJ,SANDWA</v>
      </c>
      <c r="AB4" s="949"/>
      <c r="AC4" s="949"/>
      <c r="AD4" s="949"/>
      <c r="AE4" s="949"/>
      <c r="AF4" s="950"/>
      <c r="AG4" s="40"/>
    </row>
    <row r="5" spans="1:39" ht="19.5" customHeight="1" thickBot="1">
      <c r="A5" s="954" t="s">
        <v>135</v>
      </c>
      <c r="B5" s="833"/>
      <c r="C5" s="833"/>
      <c r="D5" s="949" t="str">
        <f>'Emp.-Detail'!D9</f>
        <v>AQPPP7545Q</v>
      </c>
      <c r="E5" s="949"/>
      <c r="F5" s="949"/>
      <c r="G5" s="949"/>
      <c r="H5" s="949"/>
      <c r="I5" s="854"/>
      <c r="J5" s="1188"/>
      <c r="K5" s="1189"/>
      <c r="L5" s="1190"/>
      <c r="M5" s="982" t="s">
        <v>137</v>
      </c>
      <c r="N5" s="833"/>
      <c r="O5" s="833"/>
      <c r="P5" s="959">
        <f>'Emp.-Detail'!G9</f>
        <v>9928390871</v>
      </c>
      <c r="Q5" s="950"/>
      <c r="S5" s="974" t="s">
        <v>203</v>
      </c>
      <c r="T5" s="975"/>
      <c r="U5" s="975"/>
      <c r="V5" s="975"/>
      <c r="W5" s="951">
        <f>SUM(Q9:Q20)</f>
        <v>680617</v>
      </c>
      <c r="X5" s="951"/>
      <c r="Y5" s="976" t="s">
        <v>202</v>
      </c>
      <c r="Z5" s="976"/>
      <c r="AA5" s="976"/>
      <c r="AB5" s="951">
        <f>P46</f>
        <v>58360</v>
      </c>
      <c r="AC5" s="949"/>
      <c r="AD5" s="941">
        <f>W5+AB5</f>
        <v>738977</v>
      </c>
      <c r="AE5" s="942"/>
      <c r="AF5" s="943"/>
      <c r="AG5" s="40"/>
    </row>
    <row r="6" spans="1:39" ht="19.5" customHeight="1">
      <c r="A6" s="1004" t="s">
        <v>0</v>
      </c>
      <c r="B6" s="1005"/>
      <c r="C6" s="1005"/>
      <c r="D6" s="1005"/>
      <c r="E6" s="1005"/>
      <c r="F6" s="1005"/>
      <c r="G6" s="1005"/>
      <c r="H6" s="1005"/>
      <c r="I6" s="1005"/>
      <c r="J6" s="1006"/>
      <c r="K6" s="1006"/>
      <c r="L6" s="1006"/>
      <c r="M6" s="1005"/>
      <c r="N6" s="1005"/>
      <c r="O6" s="1005"/>
      <c r="P6" s="1005"/>
      <c r="Q6" s="1007"/>
      <c r="S6" s="972" t="s">
        <v>149</v>
      </c>
      <c r="T6" s="970"/>
      <c r="U6" s="970"/>
      <c r="V6" s="970"/>
      <c r="W6" s="970"/>
      <c r="X6" s="970"/>
      <c r="Y6" s="970"/>
      <c r="Z6" s="970"/>
      <c r="AA6" s="973"/>
      <c r="AB6" s="951">
        <f>I53</f>
        <v>0</v>
      </c>
      <c r="AC6" s="951"/>
      <c r="AD6" s="941">
        <f>AD5-AB6</f>
        <v>738977</v>
      </c>
      <c r="AE6" s="942"/>
      <c r="AF6" s="943"/>
      <c r="AG6" s="40"/>
      <c r="AH6" s="6"/>
      <c r="AI6" s="6"/>
      <c r="AJ6" s="6"/>
      <c r="AK6" s="6"/>
      <c r="AL6" s="6"/>
      <c r="AM6" s="6"/>
    </row>
    <row r="7" spans="1:39" s="1" customFormat="1"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738977</v>
      </c>
      <c r="AE7" s="942"/>
      <c r="AF7" s="943"/>
      <c r="AG7" s="40"/>
      <c r="AH7" s="6"/>
      <c r="AI7" s="6"/>
      <c r="AJ7" s="6"/>
      <c r="AK7" s="6"/>
      <c r="AL7" s="6"/>
      <c r="AM7" s="6"/>
    </row>
    <row r="8" spans="1:39" s="5" customFormat="1"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738977</v>
      </c>
      <c r="AE8" s="942"/>
      <c r="AF8" s="943"/>
      <c r="AG8" s="40"/>
      <c r="AH8" s="6"/>
      <c r="AI8" s="6"/>
      <c r="AJ8" s="6"/>
      <c r="AK8" s="6"/>
      <c r="AL8" s="6"/>
      <c r="AM8" s="6"/>
    </row>
    <row r="9" spans="1:39" ht="19.5" customHeight="1">
      <c r="A9" s="285">
        <v>1</v>
      </c>
      <c r="B9" s="286">
        <v>42430</v>
      </c>
      <c r="C9" s="190">
        <v>21000</v>
      </c>
      <c r="D9" s="190">
        <f>ROUND(C9*119%,0)</f>
        <v>24990</v>
      </c>
      <c r="E9" s="191">
        <f>ROUND((C9+D9)*10%,0)</f>
        <v>4599</v>
      </c>
      <c r="F9" s="190">
        <f>ROUND(C9*10%,0)</f>
        <v>2100</v>
      </c>
      <c r="G9" s="190">
        <v>0</v>
      </c>
      <c r="H9" s="190">
        <v>0</v>
      </c>
      <c r="I9" s="192">
        <v>0</v>
      </c>
      <c r="J9" s="190">
        <v>0</v>
      </c>
      <c r="K9" s="190">
        <f>ROUND((I9+J9)*10%,0)</f>
        <v>0</v>
      </c>
      <c r="L9" s="190">
        <v>0</v>
      </c>
      <c r="M9" s="190">
        <v>0</v>
      </c>
      <c r="N9" s="190">
        <v>0</v>
      </c>
      <c r="O9" s="190">
        <v>0</v>
      </c>
      <c r="P9" s="193">
        <v>0</v>
      </c>
      <c r="Q9" s="290">
        <f>C9+D9+F9+G9+H9+I9+J9+L9+M9+N9+O9</f>
        <v>48090</v>
      </c>
      <c r="R9" s="282"/>
      <c r="S9" s="984" t="s">
        <v>144</v>
      </c>
      <c r="T9" s="985"/>
      <c r="U9" s="985"/>
      <c r="V9" s="985"/>
      <c r="W9" s="985"/>
      <c r="X9" s="985"/>
      <c r="Y9" s="985"/>
      <c r="Z9" s="971" t="s">
        <v>18</v>
      </c>
      <c r="AA9" s="971"/>
      <c r="AB9" s="967">
        <f>O49</f>
        <v>0</v>
      </c>
      <c r="AC9" s="968"/>
      <c r="AD9" s="977">
        <f>AD8+AB9</f>
        <v>738977</v>
      </c>
      <c r="AE9" s="978"/>
      <c r="AF9" s="979"/>
      <c r="AG9" s="40"/>
      <c r="AH9" s="6"/>
      <c r="AI9" s="6"/>
      <c r="AJ9" s="6"/>
      <c r="AK9" s="6"/>
      <c r="AL9" s="6"/>
      <c r="AM9" s="6"/>
    </row>
    <row r="10" spans="1:39" ht="19.5" customHeight="1">
      <c r="A10" s="187">
        <v>2</v>
      </c>
      <c r="B10" s="286">
        <v>42461</v>
      </c>
      <c r="C10" s="190">
        <v>21000</v>
      </c>
      <c r="D10" s="190">
        <f>ROUND(C10*125%,0)</f>
        <v>26250</v>
      </c>
      <c r="E10" s="191">
        <f t="shared" ref="E10:E20" si="0">ROUND((C10+D10)*10%,0)</f>
        <v>4725</v>
      </c>
      <c r="F10" s="190">
        <f t="shared" ref="F10:F20" si="1">ROUND(C10*10%,0)</f>
        <v>2100</v>
      </c>
      <c r="G10" s="192">
        <f>G9</f>
        <v>0</v>
      </c>
      <c r="H10" s="192">
        <f>H9</f>
        <v>0</v>
      </c>
      <c r="I10" s="192">
        <v>0</v>
      </c>
      <c r="J10" s="190">
        <v>0</v>
      </c>
      <c r="K10" s="190">
        <f t="shared" ref="K10:K20" si="2">ROUND((I10+J10)*10%,0)</f>
        <v>0</v>
      </c>
      <c r="L10" s="190">
        <v>0</v>
      </c>
      <c r="M10" s="190">
        <v>0</v>
      </c>
      <c r="N10" s="190">
        <v>71344</v>
      </c>
      <c r="O10" s="190">
        <v>0</v>
      </c>
      <c r="P10" s="193">
        <v>0</v>
      </c>
      <c r="Q10" s="290">
        <f t="shared" ref="Q10:Q20" si="3">C10+D10+F10+G10+H10+I10+J10+L10+M10+N10+O10</f>
        <v>120694</v>
      </c>
      <c r="S10" s="311" t="s">
        <v>145</v>
      </c>
      <c r="T10" s="981" t="s">
        <v>21</v>
      </c>
      <c r="U10" s="982"/>
      <c r="V10" s="986" t="s">
        <v>22</v>
      </c>
      <c r="W10" s="981"/>
      <c r="X10" s="982"/>
      <c r="Y10" s="986" t="s">
        <v>23</v>
      </c>
      <c r="Z10" s="981"/>
      <c r="AA10" s="982"/>
      <c r="AB10" s="986" t="s">
        <v>24</v>
      </c>
      <c r="AC10" s="982"/>
      <c r="AD10" s="983"/>
      <c r="AE10" s="965"/>
      <c r="AF10" s="291"/>
      <c r="AG10" s="40"/>
      <c r="AH10" s="6"/>
      <c r="AI10" s="6"/>
      <c r="AJ10" s="6"/>
      <c r="AK10" s="6"/>
      <c r="AL10" s="6"/>
      <c r="AM10" s="6"/>
    </row>
    <row r="11" spans="1:39" ht="19.5" customHeight="1">
      <c r="A11" s="187">
        <v>3</v>
      </c>
      <c r="B11" s="286">
        <v>42491</v>
      </c>
      <c r="C11" s="190">
        <v>21000</v>
      </c>
      <c r="D11" s="190">
        <f t="shared" ref="D11:D15" si="4">ROUND(C11*125%,0)</f>
        <v>26250</v>
      </c>
      <c r="E11" s="191">
        <f t="shared" si="0"/>
        <v>4725</v>
      </c>
      <c r="F11" s="190">
        <f t="shared" si="1"/>
        <v>2100</v>
      </c>
      <c r="G11" s="192">
        <f t="shared" ref="G11:H20" si="5">G10</f>
        <v>0</v>
      </c>
      <c r="H11" s="192">
        <f t="shared" si="5"/>
        <v>0</v>
      </c>
      <c r="I11" s="192">
        <v>0</v>
      </c>
      <c r="J11" s="190">
        <v>0</v>
      </c>
      <c r="K11" s="190">
        <f t="shared" si="2"/>
        <v>0</v>
      </c>
      <c r="L11" s="190">
        <v>0</v>
      </c>
      <c r="M11" s="190">
        <v>0</v>
      </c>
      <c r="N11" s="190">
        <v>0</v>
      </c>
      <c r="O11" s="190">
        <v>0</v>
      </c>
      <c r="P11" s="193">
        <v>0</v>
      </c>
      <c r="Q11" s="290">
        <f t="shared" si="3"/>
        <v>49350</v>
      </c>
      <c r="S11" s="292" t="s">
        <v>146</v>
      </c>
      <c r="T11" s="958">
        <f>O50</f>
        <v>0</v>
      </c>
      <c r="U11" s="948"/>
      <c r="V11" s="980">
        <f>O51</f>
        <v>0</v>
      </c>
      <c r="W11" s="958"/>
      <c r="X11" s="948"/>
      <c r="Y11" s="980">
        <f>Q49</f>
        <v>0</v>
      </c>
      <c r="Z11" s="958"/>
      <c r="AA11" s="948"/>
      <c r="AB11" s="980">
        <f>T11+V11+Y11</f>
        <v>0</v>
      </c>
      <c r="AC11" s="948"/>
      <c r="AD11" s="941">
        <f>AD9-AB11</f>
        <v>738977</v>
      </c>
      <c r="AE11" s="942"/>
      <c r="AF11" s="943"/>
      <c r="AG11" s="40"/>
      <c r="AH11" s="6"/>
      <c r="AI11" s="6"/>
      <c r="AJ11" s="6"/>
      <c r="AK11" s="6"/>
      <c r="AL11" s="6"/>
      <c r="AM11" s="6"/>
    </row>
    <row r="12" spans="1:39" ht="19.5" customHeight="1">
      <c r="A12" s="187">
        <v>4</v>
      </c>
      <c r="B12" s="286">
        <v>42522</v>
      </c>
      <c r="C12" s="190">
        <v>21000</v>
      </c>
      <c r="D12" s="190">
        <f t="shared" si="4"/>
        <v>26250</v>
      </c>
      <c r="E12" s="191">
        <f t="shared" si="0"/>
        <v>4725</v>
      </c>
      <c r="F12" s="190">
        <f t="shared" si="1"/>
        <v>2100</v>
      </c>
      <c r="G12" s="192">
        <f t="shared" si="5"/>
        <v>0</v>
      </c>
      <c r="H12" s="192">
        <f t="shared" si="5"/>
        <v>0</v>
      </c>
      <c r="I12" s="192">
        <v>0</v>
      </c>
      <c r="J12" s="190">
        <v>0</v>
      </c>
      <c r="K12" s="190">
        <f t="shared" si="2"/>
        <v>0</v>
      </c>
      <c r="L12" s="190">
        <v>0</v>
      </c>
      <c r="M12" s="190">
        <v>0</v>
      </c>
      <c r="N12" s="190">
        <v>0</v>
      </c>
      <c r="O12" s="190">
        <v>0</v>
      </c>
      <c r="P12" s="193">
        <v>0</v>
      </c>
      <c r="Q12" s="290">
        <f t="shared" si="3"/>
        <v>49350</v>
      </c>
      <c r="S12" s="823" t="s">
        <v>150</v>
      </c>
      <c r="T12" s="824"/>
      <c r="U12" s="828" t="s">
        <v>151</v>
      </c>
      <c r="V12" s="824"/>
      <c r="W12" s="828" t="s">
        <v>152</v>
      </c>
      <c r="X12" s="824"/>
      <c r="Y12" s="969" t="s">
        <v>154</v>
      </c>
      <c r="Z12" s="970"/>
      <c r="AA12" s="970"/>
      <c r="AB12" s="949" t="s">
        <v>153</v>
      </c>
      <c r="AC12" s="949"/>
      <c r="AD12" s="983"/>
      <c r="AE12" s="965"/>
      <c r="AF12" s="293"/>
      <c r="AG12" s="40"/>
      <c r="AH12" s="6"/>
      <c r="AI12" s="6"/>
      <c r="AJ12" s="6"/>
      <c r="AK12" s="6"/>
      <c r="AL12" s="6"/>
      <c r="AM12" s="6"/>
    </row>
    <row r="13" spans="1:39" ht="19.5" customHeight="1">
      <c r="A13" s="187">
        <v>5</v>
      </c>
      <c r="B13" s="286">
        <v>42552</v>
      </c>
      <c r="C13" s="192">
        <f>ROUNDUP(ROUND(C12*3%,0),-1)+C12</f>
        <v>21630</v>
      </c>
      <c r="D13" s="190">
        <f t="shared" si="4"/>
        <v>27038</v>
      </c>
      <c r="E13" s="191">
        <f t="shared" si="0"/>
        <v>4867</v>
      </c>
      <c r="F13" s="190">
        <f t="shared" si="1"/>
        <v>2163</v>
      </c>
      <c r="G13" s="192">
        <f t="shared" si="5"/>
        <v>0</v>
      </c>
      <c r="H13" s="192">
        <f t="shared" si="5"/>
        <v>0</v>
      </c>
      <c r="I13" s="192">
        <v>0</v>
      </c>
      <c r="J13" s="190">
        <v>0</v>
      </c>
      <c r="K13" s="190">
        <f t="shared" si="2"/>
        <v>0</v>
      </c>
      <c r="L13" s="190">
        <v>0</v>
      </c>
      <c r="M13" s="190">
        <v>0</v>
      </c>
      <c r="N13" s="190">
        <v>0</v>
      </c>
      <c r="O13" s="190">
        <v>0</v>
      </c>
      <c r="P13" s="193">
        <v>0</v>
      </c>
      <c r="Q13" s="290">
        <f t="shared" si="3"/>
        <v>50831</v>
      </c>
      <c r="R13" s="70"/>
      <c r="S13" s="991">
        <f>O52</f>
        <v>0</v>
      </c>
      <c r="T13" s="948"/>
      <c r="U13" s="980">
        <f>O53</f>
        <v>0</v>
      </c>
      <c r="V13" s="948"/>
      <c r="W13" s="980">
        <f>O54</f>
        <v>0</v>
      </c>
      <c r="X13" s="948"/>
      <c r="Y13" s="980">
        <f>O55</f>
        <v>0</v>
      </c>
      <c r="Z13" s="958"/>
      <c r="AA13" s="958"/>
      <c r="AB13" s="951">
        <f>SUM(S13:AA13)</f>
        <v>0</v>
      </c>
      <c r="AC13" s="951"/>
      <c r="AD13" s="941">
        <f>AD11+AB13</f>
        <v>738977</v>
      </c>
      <c r="AE13" s="965"/>
      <c r="AF13" s="966"/>
      <c r="AG13" s="40"/>
      <c r="AH13" s="6"/>
      <c r="AI13" s="6"/>
      <c r="AJ13" s="6"/>
      <c r="AK13" s="6"/>
      <c r="AL13" s="6"/>
      <c r="AM13" s="6"/>
    </row>
    <row r="14" spans="1:39" ht="19.5" customHeight="1">
      <c r="A14" s="187">
        <v>6</v>
      </c>
      <c r="B14" s="286">
        <v>42583</v>
      </c>
      <c r="C14" s="192">
        <f t="shared" ref="C14:C20" si="6">C13</f>
        <v>21630</v>
      </c>
      <c r="D14" s="190">
        <f>ROUND(C14*125%,0)</f>
        <v>27038</v>
      </c>
      <c r="E14" s="191">
        <f t="shared" si="0"/>
        <v>4867</v>
      </c>
      <c r="F14" s="190">
        <f t="shared" si="1"/>
        <v>2163</v>
      </c>
      <c r="G14" s="192">
        <f t="shared" si="5"/>
        <v>0</v>
      </c>
      <c r="H14" s="192">
        <f t="shared" si="5"/>
        <v>0</v>
      </c>
      <c r="I14" s="192">
        <v>0</v>
      </c>
      <c r="J14" s="192">
        <v>0</v>
      </c>
      <c r="K14" s="190">
        <f t="shared" si="2"/>
        <v>0</v>
      </c>
      <c r="L14" s="190">
        <v>0</v>
      </c>
      <c r="M14" s="190">
        <v>0</v>
      </c>
      <c r="N14" s="190">
        <v>0</v>
      </c>
      <c r="O14" s="190">
        <v>0</v>
      </c>
      <c r="P14" s="193">
        <v>0</v>
      </c>
      <c r="Q14" s="290">
        <f t="shared" si="3"/>
        <v>50831</v>
      </c>
      <c r="S14" s="954" t="s">
        <v>19</v>
      </c>
      <c r="T14" s="833"/>
      <c r="U14" s="833"/>
      <c r="V14" s="833"/>
      <c r="W14" s="833"/>
      <c r="X14" s="833"/>
      <c r="Y14" s="833"/>
      <c r="Z14" s="833"/>
      <c r="AA14" s="951">
        <f>I55</f>
        <v>0</v>
      </c>
      <c r="AB14" s="951"/>
      <c r="AC14" s="951"/>
      <c r="AD14" s="941">
        <f>AD13+AA14</f>
        <v>738977</v>
      </c>
      <c r="AE14" s="942"/>
      <c r="AF14" s="943"/>
      <c r="AG14" s="40"/>
      <c r="AH14" s="6"/>
      <c r="AI14" s="6"/>
      <c r="AJ14" s="6"/>
      <c r="AK14" s="6"/>
      <c r="AL14" s="6"/>
      <c r="AM14" s="6"/>
    </row>
    <row r="15" spans="1:39" ht="19.5" customHeight="1">
      <c r="A15" s="187">
        <v>7</v>
      </c>
      <c r="B15" s="286">
        <v>42614</v>
      </c>
      <c r="C15" s="192">
        <f t="shared" si="6"/>
        <v>21630</v>
      </c>
      <c r="D15" s="190">
        <f t="shared" si="4"/>
        <v>27038</v>
      </c>
      <c r="E15" s="191">
        <f t="shared" si="0"/>
        <v>4867</v>
      </c>
      <c r="F15" s="190">
        <f t="shared" si="1"/>
        <v>2163</v>
      </c>
      <c r="G15" s="192">
        <f t="shared" si="5"/>
        <v>0</v>
      </c>
      <c r="H15" s="192">
        <f t="shared" si="5"/>
        <v>0</v>
      </c>
      <c r="I15" s="192">
        <v>0</v>
      </c>
      <c r="J15" s="192">
        <v>0</v>
      </c>
      <c r="K15" s="190">
        <f t="shared" si="2"/>
        <v>0</v>
      </c>
      <c r="L15" s="190">
        <v>0</v>
      </c>
      <c r="M15" s="190">
        <v>0</v>
      </c>
      <c r="N15" s="190">
        <v>0</v>
      </c>
      <c r="O15" s="190">
        <v>0</v>
      </c>
      <c r="P15" s="193">
        <v>0</v>
      </c>
      <c r="Q15" s="290">
        <f t="shared" si="3"/>
        <v>50831</v>
      </c>
      <c r="S15" s="992" t="s">
        <v>20</v>
      </c>
      <c r="T15" s="993"/>
      <c r="U15" s="993"/>
      <c r="V15" s="993"/>
      <c r="W15" s="993"/>
      <c r="X15" s="993"/>
      <c r="Y15" s="993"/>
      <c r="Z15" s="993"/>
      <c r="AA15" s="993"/>
      <c r="AB15" s="993"/>
      <c r="AC15" s="993"/>
      <c r="AD15" s="941">
        <f>AD14</f>
        <v>738977</v>
      </c>
      <c r="AE15" s="942"/>
      <c r="AF15" s="943"/>
      <c r="AG15" s="40"/>
      <c r="AH15" s="6"/>
      <c r="AI15" s="6"/>
      <c r="AJ15" s="6"/>
      <c r="AK15" s="6"/>
      <c r="AL15" s="6"/>
      <c r="AM15" s="6"/>
    </row>
    <row r="16" spans="1:39" ht="19.5" customHeight="1">
      <c r="A16" s="187">
        <v>8</v>
      </c>
      <c r="B16" s="286">
        <v>42644</v>
      </c>
      <c r="C16" s="192">
        <f t="shared" si="6"/>
        <v>21630</v>
      </c>
      <c r="D16" s="190">
        <f>ROUND(C16*131%,0)</f>
        <v>28335</v>
      </c>
      <c r="E16" s="191">
        <f t="shared" si="0"/>
        <v>4997</v>
      </c>
      <c r="F16" s="190">
        <f t="shared" si="1"/>
        <v>2163</v>
      </c>
      <c r="G16" s="192">
        <f t="shared" si="5"/>
        <v>0</v>
      </c>
      <c r="H16" s="192">
        <f t="shared" si="5"/>
        <v>0</v>
      </c>
      <c r="I16" s="192">
        <v>0</v>
      </c>
      <c r="J16" s="192">
        <v>0</v>
      </c>
      <c r="K16" s="190">
        <f t="shared" si="2"/>
        <v>0</v>
      </c>
      <c r="L16" s="190">
        <v>0</v>
      </c>
      <c r="M16" s="190">
        <v>0</v>
      </c>
      <c r="N16" s="190">
        <v>0</v>
      </c>
      <c r="O16" s="190">
        <v>0</v>
      </c>
      <c r="P16" s="193">
        <v>0</v>
      </c>
      <c r="Q16" s="290">
        <f t="shared" si="3"/>
        <v>52128</v>
      </c>
      <c r="S16" s="987" t="s">
        <v>156</v>
      </c>
      <c r="T16" s="988"/>
      <c r="U16" s="988"/>
      <c r="V16" s="988"/>
      <c r="W16" s="988"/>
      <c r="X16" s="988"/>
      <c r="Y16" s="988"/>
      <c r="Z16" s="988"/>
      <c r="AA16" s="988"/>
      <c r="AB16" s="988"/>
      <c r="AC16" s="988"/>
      <c r="AD16" s="989"/>
      <c r="AE16" s="989"/>
      <c r="AF16" s="990"/>
      <c r="AG16" s="40"/>
      <c r="AH16" s="6"/>
      <c r="AI16" s="6"/>
      <c r="AJ16" s="6"/>
      <c r="AK16" s="6"/>
      <c r="AL16" s="6"/>
      <c r="AM16" s="6"/>
    </row>
    <row r="17" spans="1:39" ht="19.5" customHeight="1">
      <c r="A17" s="187">
        <v>9</v>
      </c>
      <c r="B17" s="286">
        <v>42675</v>
      </c>
      <c r="C17" s="192">
        <f t="shared" si="6"/>
        <v>21630</v>
      </c>
      <c r="D17" s="190">
        <f>ROUND(C17*131%,0)</f>
        <v>28335</v>
      </c>
      <c r="E17" s="191">
        <f t="shared" si="0"/>
        <v>4997</v>
      </c>
      <c r="F17" s="190">
        <f t="shared" si="1"/>
        <v>2163</v>
      </c>
      <c r="G17" s="192">
        <f t="shared" si="5"/>
        <v>0</v>
      </c>
      <c r="H17" s="192">
        <f t="shared" si="5"/>
        <v>0</v>
      </c>
      <c r="I17" s="192">
        <v>0</v>
      </c>
      <c r="J17" s="192">
        <v>0</v>
      </c>
      <c r="K17" s="190">
        <f t="shared" si="2"/>
        <v>0</v>
      </c>
      <c r="L17" s="190">
        <v>0</v>
      </c>
      <c r="M17" s="190">
        <v>0</v>
      </c>
      <c r="N17" s="190">
        <v>0</v>
      </c>
      <c r="O17" s="190">
        <v>0</v>
      </c>
      <c r="P17" s="193">
        <v>0</v>
      </c>
      <c r="Q17" s="290">
        <f t="shared" si="3"/>
        <v>52128</v>
      </c>
      <c r="S17" s="954" t="s">
        <v>157</v>
      </c>
      <c r="T17" s="833"/>
      <c r="U17" s="833"/>
      <c r="V17" s="951">
        <f>IF('Emp.-Detail'!F9="NO",F37,0)</f>
        <v>0</v>
      </c>
      <c r="W17" s="951"/>
      <c r="X17" s="833" t="s">
        <v>167</v>
      </c>
      <c r="Y17" s="833"/>
      <c r="Z17" s="833"/>
      <c r="AA17" s="833"/>
      <c r="AB17" s="833"/>
      <c r="AC17" s="833"/>
      <c r="AD17" s="831">
        <f>F45</f>
        <v>25000</v>
      </c>
      <c r="AE17" s="831"/>
      <c r="AF17" s="955"/>
      <c r="AG17" s="40"/>
      <c r="AH17" s="6"/>
      <c r="AI17" s="6"/>
      <c r="AJ17" s="6"/>
      <c r="AK17" s="6"/>
      <c r="AL17" s="6"/>
      <c r="AM17" s="6"/>
    </row>
    <row r="18" spans="1:39" ht="19.5" customHeight="1">
      <c r="A18" s="187">
        <v>10</v>
      </c>
      <c r="B18" s="286">
        <v>42705</v>
      </c>
      <c r="C18" s="192">
        <f t="shared" si="6"/>
        <v>21630</v>
      </c>
      <c r="D18" s="190">
        <f>ROUND(C18*131%,0)</f>
        <v>28335</v>
      </c>
      <c r="E18" s="191">
        <f t="shared" si="0"/>
        <v>4997</v>
      </c>
      <c r="F18" s="190">
        <f t="shared" si="1"/>
        <v>2163</v>
      </c>
      <c r="G18" s="192">
        <f t="shared" si="5"/>
        <v>0</v>
      </c>
      <c r="H18" s="192">
        <f t="shared" si="5"/>
        <v>0</v>
      </c>
      <c r="I18" s="192">
        <v>0</v>
      </c>
      <c r="J18" s="192">
        <v>0</v>
      </c>
      <c r="K18" s="190">
        <f t="shared" si="2"/>
        <v>0</v>
      </c>
      <c r="L18" s="190">
        <v>0</v>
      </c>
      <c r="M18" s="190">
        <v>0</v>
      </c>
      <c r="N18" s="190">
        <v>0</v>
      </c>
      <c r="O18" s="190">
        <v>0</v>
      </c>
      <c r="P18" s="193">
        <v>0</v>
      </c>
      <c r="Q18" s="290">
        <f t="shared" si="3"/>
        <v>52128</v>
      </c>
      <c r="S18" s="954" t="s">
        <v>158</v>
      </c>
      <c r="T18" s="833"/>
      <c r="U18" s="833"/>
      <c r="V18" s="951">
        <f>I37</f>
        <v>31800</v>
      </c>
      <c r="W18" s="951"/>
      <c r="X18" s="833" t="s">
        <v>168</v>
      </c>
      <c r="Y18" s="833"/>
      <c r="Z18" s="833"/>
      <c r="AA18" s="833"/>
      <c r="AB18" s="833"/>
      <c r="AC18" s="833"/>
      <c r="AD18" s="831">
        <f>F46+O52</f>
        <v>0</v>
      </c>
      <c r="AE18" s="831"/>
      <c r="AF18" s="955"/>
      <c r="AG18" s="40"/>
      <c r="AH18" s="6"/>
      <c r="AI18" s="6"/>
      <c r="AJ18" s="6"/>
      <c r="AK18" s="6"/>
      <c r="AL18" s="6"/>
      <c r="AM18" s="6"/>
    </row>
    <row r="19" spans="1:39" ht="19.5" customHeight="1">
      <c r="A19" s="187">
        <v>11</v>
      </c>
      <c r="B19" s="286">
        <v>42736</v>
      </c>
      <c r="C19" s="192">
        <f t="shared" si="6"/>
        <v>21630</v>
      </c>
      <c r="D19" s="190">
        <f>ROUND(C19*131%,0)</f>
        <v>28335</v>
      </c>
      <c r="E19" s="191">
        <f t="shared" si="0"/>
        <v>4997</v>
      </c>
      <c r="F19" s="190">
        <f t="shared" si="1"/>
        <v>2163</v>
      </c>
      <c r="G19" s="192">
        <f t="shared" si="5"/>
        <v>0</v>
      </c>
      <c r="H19" s="192">
        <f t="shared" si="5"/>
        <v>0</v>
      </c>
      <c r="I19" s="192">
        <v>0</v>
      </c>
      <c r="J19" s="192">
        <v>0</v>
      </c>
      <c r="K19" s="190">
        <f t="shared" si="2"/>
        <v>0</v>
      </c>
      <c r="L19" s="190">
        <v>0</v>
      </c>
      <c r="M19" s="190">
        <v>0</v>
      </c>
      <c r="N19" s="190">
        <v>0</v>
      </c>
      <c r="O19" s="190">
        <v>0</v>
      </c>
      <c r="P19" s="193">
        <v>0</v>
      </c>
      <c r="Q19" s="290">
        <f t="shared" si="3"/>
        <v>52128</v>
      </c>
      <c r="S19" s="954" t="s">
        <v>159</v>
      </c>
      <c r="T19" s="833"/>
      <c r="U19" s="833"/>
      <c r="V19" s="951">
        <f>N37</f>
        <v>0</v>
      </c>
      <c r="W19" s="951"/>
      <c r="X19" s="833" t="s">
        <v>169</v>
      </c>
      <c r="Y19" s="833"/>
      <c r="Z19" s="833"/>
      <c r="AA19" s="833"/>
      <c r="AB19" s="833"/>
      <c r="AC19" s="833"/>
      <c r="AD19" s="831">
        <f>P40</f>
        <v>0</v>
      </c>
      <c r="AE19" s="831"/>
      <c r="AF19" s="955"/>
      <c r="AG19" s="40"/>
      <c r="AH19" s="6"/>
      <c r="AI19" s="6"/>
      <c r="AJ19" s="6"/>
      <c r="AK19" s="6"/>
      <c r="AL19" s="6"/>
      <c r="AM19" s="6"/>
    </row>
    <row r="20" spans="1:39" ht="19.5" customHeight="1">
      <c r="A20" s="187">
        <v>12</v>
      </c>
      <c r="B20" s="286">
        <v>42767</v>
      </c>
      <c r="C20" s="192">
        <f t="shared" si="6"/>
        <v>21630</v>
      </c>
      <c r="D20" s="190">
        <f>ROUND(C20*131%,0)</f>
        <v>28335</v>
      </c>
      <c r="E20" s="191">
        <f t="shared" si="0"/>
        <v>4997</v>
      </c>
      <c r="F20" s="190">
        <f t="shared" si="1"/>
        <v>2163</v>
      </c>
      <c r="G20" s="192">
        <f t="shared" si="5"/>
        <v>0</v>
      </c>
      <c r="H20" s="192">
        <f t="shared" si="5"/>
        <v>0</v>
      </c>
      <c r="I20" s="192">
        <v>0</v>
      </c>
      <c r="J20" s="192">
        <v>0</v>
      </c>
      <c r="K20" s="190">
        <f t="shared" si="2"/>
        <v>0</v>
      </c>
      <c r="L20" s="190">
        <v>0</v>
      </c>
      <c r="M20" s="190">
        <v>0</v>
      </c>
      <c r="N20" s="190">
        <v>0</v>
      </c>
      <c r="O20" s="190">
        <v>0</v>
      </c>
      <c r="P20" s="193">
        <v>0</v>
      </c>
      <c r="Q20" s="290">
        <f t="shared" si="3"/>
        <v>52128</v>
      </c>
      <c r="S20" s="954" t="s">
        <v>160</v>
      </c>
      <c r="T20" s="833"/>
      <c r="U20" s="833"/>
      <c r="V20" s="951">
        <f>'Emp.-Detail'!AB9</f>
        <v>220</v>
      </c>
      <c r="W20" s="951"/>
      <c r="X20" s="833" t="s">
        <v>170</v>
      </c>
      <c r="Y20" s="833"/>
      <c r="Z20" s="833"/>
      <c r="AA20" s="833"/>
      <c r="AB20" s="833"/>
      <c r="AC20" s="833"/>
      <c r="AD20" s="831">
        <f>P41</f>
        <v>0</v>
      </c>
      <c r="AE20" s="831"/>
      <c r="AF20" s="955"/>
      <c r="AG20" s="40"/>
      <c r="AH20" s="6"/>
      <c r="AI20" s="6"/>
      <c r="AJ20" s="6"/>
      <c r="AK20" s="6"/>
      <c r="AL20" s="6"/>
      <c r="AM20" s="6"/>
    </row>
    <row r="21" spans="1:39" ht="19.5" customHeight="1">
      <c r="A21" s="1004" t="s">
        <v>3</v>
      </c>
      <c r="B21" s="1012"/>
      <c r="C21" s="287">
        <f t="shared" ref="C21:N21" si="7">SUM(C9:C20)</f>
        <v>257040</v>
      </c>
      <c r="D21" s="287">
        <f>SUM(D9:D20)</f>
        <v>326529</v>
      </c>
      <c r="E21" s="288">
        <f>SUM(E9:E20)</f>
        <v>58360</v>
      </c>
      <c r="F21" s="287">
        <f>SUM(F9:F20)</f>
        <v>25704</v>
      </c>
      <c r="G21" s="287">
        <f t="shared" si="7"/>
        <v>0</v>
      </c>
      <c r="H21" s="287">
        <f>SUM(H9:H20)</f>
        <v>0</v>
      </c>
      <c r="I21" s="287">
        <f t="shared" si="7"/>
        <v>0</v>
      </c>
      <c r="J21" s="287">
        <f t="shared" si="7"/>
        <v>0</v>
      </c>
      <c r="K21" s="287">
        <f>SUM(K9:K20)</f>
        <v>0</v>
      </c>
      <c r="L21" s="287">
        <f t="shared" si="7"/>
        <v>0</v>
      </c>
      <c r="M21" s="287">
        <f t="shared" si="7"/>
        <v>0</v>
      </c>
      <c r="N21" s="287">
        <f t="shared" si="7"/>
        <v>71344</v>
      </c>
      <c r="O21" s="287">
        <f>SUM(O9:O20)</f>
        <v>0</v>
      </c>
      <c r="P21" s="289">
        <f>SUM(P9:P20)</f>
        <v>0</v>
      </c>
      <c r="Q21" s="84">
        <f>SUM(Q9:Q20)</f>
        <v>680617</v>
      </c>
      <c r="S21" s="954" t="s">
        <v>161</v>
      </c>
      <c r="T21" s="833"/>
      <c r="U21" s="833"/>
      <c r="V21" s="951">
        <f>F40</f>
        <v>25000</v>
      </c>
      <c r="W21" s="951"/>
      <c r="X21" s="833" t="s">
        <v>171</v>
      </c>
      <c r="Y21" s="833"/>
      <c r="Z21" s="833"/>
      <c r="AA21" s="833"/>
      <c r="AB21" s="833"/>
      <c r="AC21" s="833"/>
      <c r="AD21" s="831">
        <f>P42</f>
        <v>0</v>
      </c>
      <c r="AE21" s="831"/>
      <c r="AF21" s="955"/>
      <c r="AG21" s="40"/>
      <c r="AH21" s="6"/>
      <c r="AI21" s="6"/>
      <c r="AJ21" s="6"/>
      <c r="AK21" s="6"/>
      <c r="AL21" s="6"/>
      <c r="AM21" s="6"/>
    </row>
    <row r="22" spans="1:39" ht="19.5" customHeight="1">
      <c r="A22" s="1162" t="s">
        <v>14</v>
      </c>
      <c r="B22" s="1006"/>
      <c r="C22" s="1006"/>
      <c r="D22" s="1006"/>
      <c r="E22" s="1006"/>
      <c r="F22" s="1006"/>
      <c r="G22" s="1006"/>
      <c r="H22" s="1006"/>
      <c r="I22" s="1006"/>
      <c r="J22" s="1006"/>
      <c r="K22" s="1006"/>
      <c r="L22" s="1006"/>
      <c r="M22" s="1006"/>
      <c r="N22" s="1006"/>
      <c r="O22" s="1006"/>
      <c r="P22" s="1006"/>
      <c r="Q22" s="1163"/>
      <c r="S22" s="954" t="s">
        <v>162</v>
      </c>
      <c r="T22" s="833"/>
      <c r="U22" s="833"/>
      <c r="V22" s="951">
        <f>F41</f>
        <v>0</v>
      </c>
      <c r="W22" s="951"/>
      <c r="X22" s="833" t="s">
        <v>172</v>
      </c>
      <c r="Y22" s="833"/>
      <c r="Z22" s="833"/>
      <c r="AA22" s="833"/>
      <c r="AB22" s="833"/>
      <c r="AC22" s="833"/>
      <c r="AD22" s="831">
        <f>P44</f>
        <v>0</v>
      </c>
      <c r="AE22" s="831"/>
      <c r="AF22" s="955"/>
      <c r="AG22" s="40"/>
      <c r="AH22" s="6"/>
      <c r="AI22" s="6"/>
      <c r="AJ22" s="6"/>
      <c r="AK22" s="6"/>
      <c r="AL22" s="6"/>
      <c r="AM22" s="6"/>
    </row>
    <row r="23" spans="1:39" s="1" customFormat="1"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40"/>
      <c r="AH23" s="6"/>
      <c r="AI23" s="6"/>
      <c r="AJ23" s="6"/>
      <c r="AK23" s="6"/>
      <c r="AL23" s="6"/>
      <c r="AM23" s="6"/>
    </row>
    <row r="24" spans="1:39" ht="19.5" customHeight="1">
      <c r="A24" s="1147"/>
      <c r="B24" s="1149"/>
      <c r="C24" s="1151"/>
      <c r="D24" s="1016"/>
      <c r="E24" s="295"/>
      <c r="F24" s="1153"/>
      <c r="G24" s="1155"/>
      <c r="H24" s="1153"/>
      <c r="I24" s="1155"/>
      <c r="J24" s="1155"/>
      <c r="K24" s="284"/>
      <c r="L24" s="1157"/>
      <c r="M24" s="1016"/>
      <c r="N24" s="1009"/>
      <c r="O24" s="1018"/>
      <c r="P24" s="1003"/>
      <c r="Q24" s="1011"/>
      <c r="S24" s="954" t="s">
        <v>164</v>
      </c>
      <c r="T24" s="833"/>
      <c r="U24" s="833"/>
      <c r="V24" s="951">
        <f>F43</f>
        <v>0</v>
      </c>
      <c r="W24" s="951"/>
      <c r="X24" s="956" t="s">
        <v>174</v>
      </c>
      <c r="Y24" s="956"/>
      <c r="Z24" s="956"/>
      <c r="AA24" s="956"/>
      <c r="AB24" s="956"/>
      <c r="AC24" s="956"/>
      <c r="AD24" s="831">
        <f>P45</f>
        <v>0</v>
      </c>
      <c r="AE24" s="831"/>
      <c r="AF24" s="955"/>
      <c r="AG24" s="40"/>
      <c r="AH24" s="2"/>
    </row>
    <row r="25" spans="1:39" s="1" customFormat="1" ht="19.5" customHeight="1">
      <c r="A25" s="187">
        <v>1</v>
      </c>
      <c r="B25" s="296">
        <f>B9</f>
        <v>42430</v>
      </c>
      <c r="C25" s="192">
        <f>IF('Emp.-Detail'!F9="yes",E9)+IF('Emp.-Detail'!F9="NO",0)</f>
        <v>4599</v>
      </c>
      <c r="D25" s="192">
        <f>IF('Emp.-Detail'!F9="YES",K9)+IF('Emp.-Detail'!F9="NO",I9,0)</f>
        <v>0</v>
      </c>
      <c r="E25" s="195"/>
      <c r="F25" s="287">
        <f>SUM(C25:D25)</f>
        <v>4599</v>
      </c>
      <c r="G25" s="192">
        <v>0</v>
      </c>
      <c r="H25" s="194">
        <v>0</v>
      </c>
      <c r="I25" s="192">
        <v>2650</v>
      </c>
      <c r="J25" s="195">
        <v>0</v>
      </c>
      <c r="K25" s="195"/>
      <c r="L25" s="195">
        <v>0</v>
      </c>
      <c r="M25" s="196">
        <v>0</v>
      </c>
      <c r="N25" s="196">
        <v>0</v>
      </c>
      <c r="O25" s="196">
        <v>1000</v>
      </c>
      <c r="P25" s="192">
        <v>0</v>
      </c>
      <c r="Q25" s="297">
        <f>SUM(F25:P25)</f>
        <v>8249</v>
      </c>
      <c r="R25" s="50"/>
      <c r="S25" s="1084" t="s">
        <v>166</v>
      </c>
      <c r="T25" s="981"/>
      <c r="U25" s="982"/>
      <c r="V25" s="951">
        <f>F44</f>
        <v>0</v>
      </c>
      <c r="W25" s="951"/>
      <c r="X25" s="956" t="s">
        <v>175</v>
      </c>
      <c r="Y25" s="956"/>
      <c r="Z25" s="956"/>
      <c r="AA25" s="956"/>
      <c r="AB25" s="956"/>
      <c r="AC25" s="956"/>
      <c r="AD25" s="831">
        <f>P46</f>
        <v>58360</v>
      </c>
      <c r="AE25" s="831"/>
      <c r="AF25" s="955"/>
      <c r="AG25" s="40"/>
      <c r="AH25" s="2"/>
    </row>
    <row r="26" spans="1:39" ht="19.5" customHeight="1">
      <c r="A26" s="187">
        <v>2</v>
      </c>
      <c r="B26" s="296">
        <f t="shared" ref="B26:B36" si="8">B10</f>
        <v>42461</v>
      </c>
      <c r="C26" s="192">
        <f>IF('Emp.-Detail'!F9="yes",E10)+IF('Emp.-Detail'!F9="NO",0)</f>
        <v>4725</v>
      </c>
      <c r="D26" s="192">
        <f>IF('Emp.-Detail'!F9="YES",K10)+IF('Emp.-Detail'!F9="NO",I10,0)</f>
        <v>0</v>
      </c>
      <c r="E26" s="195"/>
      <c r="F26" s="287">
        <f t="shared" ref="F26:F37" si="9">SUM(C26:D26)</f>
        <v>4725</v>
      </c>
      <c r="G26" s="192">
        <f t="shared" ref="G26:O26" si="10">G25</f>
        <v>0</v>
      </c>
      <c r="H26" s="194">
        <f>H25</f>
        <v>0</v>
      </c>
      <c r="I26" s="192">
        <f t="shared" si="10"/>
        <v>2650</v>
      </c>
      <c r="J26" s="195">
        <f t="shared" si="10"/>
        <v>0</v>
      </c>
      <c r="K26" s="195"/>
      <c r="L26" s="195">
        <f t="shared" si="10"/>
        <v>0</v>
      </c>
      <c r="M26" s="196">
        <f t="shared" si="10"/>
        <v>0</v>
      </c>
      <c r="N26" s="196">
        <f t="shared" si="10"/>
        <v>0</v>
      </c>
      <c r="O26" s="196">
        <f t="shared" si="10"/>
        <v>1000</v>
      </c>
      <c r="P26" s="194">
        <f>'Emp.-Detail'!AB9+'Emp.-Detail'!AB9*14.5%</f>
        <v>251.9</v>
      </c>
      <c r="Q26" s="297">
        <f t="shared" ref="Q26:Q36" si="11">SUM(F26:P26)</f>
        <v>8626.9</v>
      </c>
      <c r="S26" s="1089" t="s">
        <v>279</v>
      </c>
      <c r="T26" s="1090"/>
      <c r="U26" s="1090"/>
      <c r="V26" s="1090"/>
      <c r="W26" s="1090"/>
      <c r="X26" s="1090"/>
      <c r="Y26" s="1090"/>
      <c r="Z26" s="1090"/>
      <c r="AA26" s="1091"/>
      <c r="AB26" s="942">
        <f>SUM(V17:V25)+SUM(AD17:AD25)</f>
        <v>140380</v>
      </c>
      <c r="AC26" s="957"/>
      <c r="AD26" s="1135">
        <f>IF(AB26&lt;=150000,AB26,150000)+AB5</f>
        <v>198740</v>
      </c>
      <c r="AE26" s="1136"/>
      <c r="AF26" s="1137"/>
      <c r="AG26" s="40"/>
    </row>
    <row r="27" spans="1:39" s="5" customFormat="1" ht="19.5" customHeight="1">
      <c r="A27" s="187">
        <v>3</v>
      </c>
      <c r="B27" s="296">
        <f t="shared" si="8"/>
        <v>42491</v>
      </c>
      <c r="C27" s="192">
        <f>IF('Emp.-Detail'!F9="yes",E11)+IF('Emp.-Detail'!F9="NO",0)</f>
        <v>4725</v>
      </c>
      <c r="D27" s="192">
        <f>IF('Emp.-Detail'!F9="YES",K11)+IF('Emp.-Detail'!F9="NO",I11,0)</f>
        <v>0</v>
      </c>
      <c r="E27" s="195"/>
      <c r="F27" s="287">
        <f t="shared" si="9"/>
        <v>4725</v>
      </c>
      <c r="G27" s="192">
        <f t="shared" ref="G27:H36" si="12">G26</f>
        <v>0</v>
      </c>
      <c r="H27" s="194">
        <f t="shared" si="12"/>
        <v>0</v>
      </c>
      <c r="I27" s="192">
        <f t="shared" ref="I27:I36" si="13">I26</f>
        <v>2650</v>
      </c>
      <c r="J27" s="195">
        <f t="shared" ref="J27:J36" si="14">J26</f>
        <v>0</v>
      </c>
      <c r="K27" s="195"/>
      <c r="L27" s="195">
        <f t="shared" ref="L27:L36" si="15">L26</f>
        <v>0</v>
      </c>
      <c r="M27" s="196">
        <f t="shared" ref="M27:M36" si="16">M26</f>
        <v>0</v>
      </c>
      <c r="N27" s="196">
        <f t="shared" ref="N27:N36" si="17">N26</f>
        <v>0</v>
      </c>
      <c r="O27" s="196">
        <f t="shared" ref="O27:O36" si="18">O26</f>
        <v>1000</v>
      </c>
      <c r="P27" s="192">
        <v>0</v>
      </c>
      <c r="Q27" s="297">
        <f t="shared" si="11"/>
        <v>8375</v>
      </c>
      <c r="R27" s="50"/>
      <c r="S27" s="1085" t="s">
        <v>592</v>
      </c>
      <c r="T27" s="1086"/>
      <c r="U27" s="1086"/>
      <c r="V27" s="1086"/>
      <c r="W27" s="1086"/>
      <c r="X27" s="1086"/>
      <c r="Y27" s="1086"/>
      <c r="Z27" s="1086"/>
      <c r="AA27" s="1086"/>
      <c r="AB27" s="1087">
        <f>AB5</f>
        <v>58360</v>
      </c>
      <c r="AC27" s="1088"/>
      <c r="AD27" s="831">
        <f>AD15-(AD26+AB5)</f>
        <v>481877</v>
      </c>
      <c r="AE27" s="831"/>
      <c r="AF27" s="955"/>
      <c r="AG27" s="40"/>
    </row>
    <row r="28" spans="1:39" ht="19.5" customHeight="1">
      <c r="A28" s="187">
        <v>4</v>
      </c>
      <c r="B28" s="296">
        <f t="shared" si="8"/>
        <v>42522</v>
      </c>
      <c r="C28" s="192">
        <f>IF('Emp.-Detail'!F9="yes",E12)+IF('Emp.-Detail'!F9="NO",0)</f>
        <v>4725</v>
      </c>
      <c r="D28" s="192">
        <f>IF('Emp.-Detail'!F9="YES",K12)+IF('Emp.-Detail'!F9="NO",I12,0)</f>
        <v>0</v>
      </c>
      <c r="E28" s="195"/>
      <c r="F28" s="287">
        <f t="shared" si="9"/>
        <v>4725</v>
      </c>
      <c r="G28" s="192">
        <f t="shared" si="12"/>
        <v>0</v>
      </c>
      <c r="H28" s="194">
        <f t="shared" si="12"/>
        <v>0</v>
      </c>
      <c r="I28" s="192">
        <f t="shared" si="13"/>
        <v>2650</v>
      </c>
      <c r="J28" s="195">
        <f t="shared" si="14"/>
        <v>0</v>
      </c>
      <c r="K28" s="195"/>
      <c r="L28" s="195">
        <f t="shared" si="15"/>
        <v>0</v>
      </c>
      <c r="M28" s="196">
        <f t="shared" si="16"/>
        <v>0</v>
      </c>
      <c r="N28" s="196">
        <f t="shared" si="17"/>
        <v>0</v>
      </c>
      <c r="O28" s="196">
        <f t="shared" si="18"/>
        <v>1000</v>
      </c>
      <c r="P28" s="192">
        <v>0</v>
      </c>
      <c r="Q28" s="297">
        <f t="shared" si="11"/>
        <v>8375</v>
      </c>
      <c r="S28" s="298" t="s">
        <v>27</v>
      </c>
      <c r="T28" s="299"/>
      <c r="U28" s="299"/>
      <c r="V28" s="299"/>
      <c r="W28" s="299"/>
      <c r="X28" s="299"/>
      <c r="Y28" s="299"/>
      <c r="Z28" s="299"/>
      <c r="AA28" s="300"/>
      <c r="AB28" s="1138" t="s">
        <v>91</v>
      </c>
      <c r="AC28" s="1138"/>
      <c r="AD28" s="1139" t="s">
        <v>93</v>
      </c>
      <c r="AE28" s="1140"/>
      <c r="AF28" s="1141"/>
      <c r="AG28" s="40"/>
    </row>
    <row r="29" spans="1:39" ht="19.5" customHeight="1">
      <c r="A29" s="187">
        <v>5</v>
      </c>
      <c r="B29" s="296">
        <f t="shared" si="8"/>
        <v>42552</v>
      </c>
      <c r="C29" s="192">
        <f>IF('Emp.-Detail'!F9="yes",E13)+IF('Emp.-Detail'!F9="NO",0)</f>
        <v>4867</v>
      </c>
      <c r="D29" s="192">
        <f>IF('Emp.-Detail'!F9="YES",K13)+IF('Emp.-Detail'!F9="NO",I13,0)</f>
        <v>0</v>
      </c>
      <c r="E29" s="195"/>
      <c r="F29" s="287">
        <f t="shared" si="9"/>
        <v>4867</v>
      </c>
      <c r="G29" s="192">
        <f t="shared" si="12"/>
        <v>0</v>
      </c>
      <c r="H29" s="194">
        <f t="shared" si="12"/>
        <v>0</v>
      </c>
      <c r="I29" s="192">
        <f t="shared" si="13"/>
        <v>2650</v>
      </c>
      <c r="J29" s="195">
        <f t="shared" si="14"/>
        <v>0</v>
      </c>
      <c r="K29" s="195"/>
      <c r="L29" s="195">
        <f t="shared" si="15"/>
        <v>0</v>
      </c>
      <c r="M29" s="196">
        <f t="shared" si="16"/>
        <v>0</v>
      </c>
      <c r="N29" s="196">
        <f t="shared" si="17"/>
        <v>0</v>
      </c>
      <c r="O29" s="196">
        <f t="shared" si="18"/>
        <v>1000</v>
      </c>
      <c r="P29" s="192">
        <v>0</v>
      </c>
      <c r="Q29" s="297">
        <f t="shared" si="11"/>
        <v>8517</v>
      </c>
      <c r="R29" s="303"/>
      <c r="S29" s="558" t="s">
        <v>176</v>
      </c>
      <c r="T29" s="559"/>
      <c r="U29" s="559"/>
      <c r="V29" s="559"/>
      <c r="W29" s="559"/>
      <c r="X29" s="559"/>
      <c r="Y29" s="559"/>
      <c r="Z29" s="559"/>
      <c r="AA29" s="559"/>
      <c r="AB29" s="831">
        <f>C48</f>
        <v>0</v>
      </c>
      <c r="AC29" s="832"/>
      <c r="AD29" s="957">
        <f>IF(AB29&lt;=50000,AB29,50000)</f>
        <v>0</v>
      </c>
      <c r="AE29" s="831"/>
      <c r="AF29" s="955"/>
      <c r="AG29" s="40"/>
    </row>
    <row r="30" spans="1:39" ht="19.5" customHeight="1">
      <c r="A30" s="187">
        <v>6</v>
      </c>
      <c r="B30" s="296">
        <f t="shared" si="8"/>
        <v>42583</v>
      </c>
      <c r="C30" s="192">
        <f>IF('Emp.-Detail'!F9="yes",E14)+IF('Emp.-Detail'!F9="NO",0)</f>
        <v>4867</v>
      </c>
      <c r="D30" s="192">
        <f>IF('Emp.-Detail'!F9="YES",K14)+IF('Emp.-Detail'!F9="NO",J14,0)</f>
        <v>0</v>
      </c>
      <c r="E30" s="195"/>
      <c r="F30" s="287">
        <f t="shared" si="9"/>
        <v>4867</v>
      </c>
      <c r="G30" s="192">
        <f t="shared" si="12"/>
        <v>0</v>
      </c>
      <c r="H30" s="194">
        <f t="shared" si="12"/>
        <v>0</v>
      </c>
      <c r="I30" s="192">
        <f t="shared" si="13"/>
        <v>2650</v>
      </c>
      <c r="J30" s="195">
        <f t="shared" si="14"/>
        <v>0</v>
      </c>
      <c r="K30" s="195"/>
      <c r="L30" s="195">
        <f t="shared" si="15"/>
        <v>0</v>
      </c>
      <c r="M30" s="196">
        <f t="shared" si="16"/>
        <v>0</v>
      </c>
      <c r="N30" s="196">
        <f t="shared" si="17"/>
        <v>0</v>
      </c>
      <c r="O30" s="196">
        <f t="shared" si="18"/>
        <v>1000</v>
      </c>
      <c r="P30" s="192">
        <v>0</v>
      </c>
      <c r="Q30" s="297">
        <f t="shared" si="11"/>
        <v>8517</v>
      </c>
      <c r="R30" s="303"/>
      <c r="S30" s="947" t="s">
        <v>594</v>
      </c>
      <c r="T30" s="559"/>
      <c r="U30" s="559"/>
      <c r="V30" s="559"/>
      <c r="W30" s="559"/>
      <c r="X30" s="559"/>
      <c r="Y30" s="559"/>
      <c r="Z30" s="559"/>
      <c r="AA30" s="559"/>
      <c r="AB30" s="831">
        <f>C49</f>
        <v>0</v>
      </c>
      <c r="AC30" s="832"/>
      <c r="AD30" s="941">
        <f>IF(AB30&lt;=60000,AB30,60000)</f>
        <v>0</v>
      </c>
      <c r="AE30" s="942"/>
      <c r="AF30" s="943"/>
      <c r="AG30" s="40"/>
    </row>
    <row r="31" spans="1:39" ht="19.5" customHeight="1">
      <c r="A31" s="187">
        <v>7</v>
      </c>
      <c r="B31" s="296">
        <f t="shared" si="8"/>
        <v>42614</v>
      </c>
      <c r="C31" s="192">
        <f>IF('Emp.-Detail'!F9="yes",E15)+IF('Emp.-Detail'!F9="NO",0)</f>
        <v>4867</v>
      </c>
      <c r="D31" s="192">
        <f>IF('Emp.-Detail'!F9="YES",K15)+IF('Emp.-Detail'!F9="NO",J15,0)</f>
        <v>0</v>
      </c>
      <c r="E31" s="195"/>
      <c r="F31" s="287">
        <f t="shared" si="9"/>
        <v>4867</v>
      </c>
      <c r="G31" s="192">
        <f t="shared" si="12"/>
        <v>0</v>
      </c>
      <c r="H31" s="194">
        <f t="shared" si="12"/>
        <v>0</v>
      </c>
      <c r="I31" s="192">
        <f t="shared" si="13"/>
        <v>2650</v>
      </c>
      <c r="J31" s="195">
        <f t="shared" si="14"/>
        <v>0</v>
      </c>
      <c r="K31" s="195"/>
      <c r="L31" s="195">
        <f t="shared" si="15"/>
        <v>0</v>
      </c>
      <c r="M31" s="196">
        <f t="shared" si="16"/>
        <v>0</v>
      </c>
      <c r="N31" s="196">
        <f t="shared" si="17"/>
        <v>0</v>
      </c>
      <c r="O31" s="196">
        <v>2000</v>
      </c>
      <c r="P31" s="192">
        <v>0</v>
      </c>
      <c r="Q31" s="297">
        <f t="shared" si="11"/>
        <v>9517</v>
      </c>
      <c r="R31" s="303"/>
      <c r="S31" s="947" t="s">
        <v>595</v>
      </c>
      <c r="T31" s="559"/>
      <c r="U31" s="559"/>
      <c r="V31" s="559"/>
      <c r="W31" s="559"/>
      <c r="X31" s="559"/>
      <c r="Y31" s="559"/>
      <c r="Z31" s="559"/>
      <c r="AA31" s="559"/>
      <c r="AB31" s="831">
        <f>C50</f>
        <v>0</v>
      </c>
      <c r="AC31" s="832"/>
      <c r="AD31" s="941">
        <f>IF(AB31&lt;=125000,AB31,125000)</f>
        <v>0</v>
      </c>
      <c r="AE31" s="942"/>
      <c r="AF31" s="943"/>
      <c r="AG31" s="40"/>
    </row>
    <row r="32" spans="1:39" ht="19.5" customHeight="1">
      <c r="A32" s="187">
        <v>8</v>
      </c>
      <c r="B32" s="296">
        <f t="shared" si="8"/>
        <v>42644</v>
      </c>
      <c r="C32" s="192">
        <f>IF('Emp.-Detail'!F9="yes",E16)+IF('Emp.-Detail'!F9="NO",0)</f>
        <v>4997</v>
      </c>
      <c r="D32" s="192">
        <f>IF('Emp.-Detail'!F9="YES",K16)+IF('Emp.-Detail'!F9="NO",J16,0)</f>
        <v>0</v>
      </c>
      <c r="E32" s="195"/>
      <c r="F32" s="287">
        <f t="shared" si="9"/>
        <v>4997</v>
      </c>
      <c r="G32" s="192">
        <f t="shared" si="12"/>
        <v>0</v>
      </c>
      <c r="H32" s="194">
        <f t="shared" si="12"/>
        <v>0</v>
      </c>
      <c r="I32" s="192">
        <f t="shared" si="13"/>
        <v>2650</v>
      </c>
      <c r="J32" s="195">
        <f t="shared" si="14"/>
        <v>0</v>
      </c>
      <c r="K32" s="195"/>
      <c r="L32" s="195">
        <f t="shared" si="15"/>
        <v>0</v>
      </c>
      <c r="M32" s="196">
        <f t="shared" si="16"/>
        <v>0</v>
      </c>
      <c r="N32" s="196">
        <f t="shared" si="17"/>
        <v>0</v>
      </c>
      <c r="O32" s="196">
        <f t="shared" si="18"/>
        <v>2000</v>
      </c>
      <c r="P32" s="192">
        <v>0</v>
      </c>
      <c r="Q32" s="297">
        <f t="shared" si="11"/>
        <v>9647</v>
      </c>
      <c r="R32" s="304"/>
      <c r="S32" s="558" t="s">
        <v>177</v>
      </c>
      <c r="T32" s="559"/>
      <c r="U32" s="559"/>
      <c r="V32" s="559"/>
      <c r="W32" s="559"/>
      <c r="X32" s="559"/>
      <c r="Y32" s="559"/>
      <c r="Z32" s="559"/>
      <c r="AA32" s="559"/>
      <c r="AB32" s="831">
        <f>C51</f>
        <v>0</v>
      </c>
      <c r="AC32" s="832"/>
      <c r="AD32" s="941">
        <f>IF(AB32&lt;=60000,AB32,60000)</f>
        <v>0</v>
      </c>
      <c r="AE32" s="942"/>
      <c r="AF32" s="943"/>
      <c r="AG32" s="40"/>
    </row>
    <row r="33" spans="1:40" ht="19.5" customHeight="1">
      <c r="A33" s="187">
        <v>9</v>
      </c>
      <c r="B33" s="296">
        <f t="shared" si="8"/>
        <v>42675</v>
      </c>
      <c r="C33" s="192">
        <f>IF('Emp.-Detail'!F9="yes",E17)+IF('Emp.-Detail'!F9="NO",0)</f>
        <v>4997</v>
      </c>
      <c r="D33" s="192">
        <f>IF('Emp.-Detail'!F9="YES",K17)+IF('Emp.-Detail'!F9="NO",J17,0)</f>
        <v>0</v>
      </c>
      <c r="E33" s="195"/>
      <c r="F33" s="287">
        <f t="shared" si="9"/>
        <v>4997</v>
      </c>
      <c r="G33" s="192">
        <f t="shared" si="12"/>
        <v>0</v>
      </c>
      <c r="H33" s="194">
        <f t="shared" si="12"/>
        <v>0</v>
      </c>
      <c r="I33" s="192">
        <f t="shared" si="13"/>
        <v>2650</v>
      </c>
      <c r="J33" s="195">
        <f t="shared" si="14"/>
        <v>0</v>
      </c>
      <c r="K33" s="195"/>
      <c r="L33" s="195">
        <f t="shared" si="15"/>
        <v>0</v>
      </c>
      <c r="M33" s="196">
        <f t="shared" si="16"/>
        <v>0</v>
      </c>
      <c r="N33" s="196">
        <f t="shared" si="17"/>
        <v>0</v>
      </c>
      <c r="O33" s="196">
        <f t="shared" si="18"/>
        <v>2000</v>
      </c>
      <c r="P33" s="192">
        <v>0</v>
      </c>
      <c r="Q33" s="297">
        <f t="shared" si="11"/>
        <v>9647</v>
      </c>
      <c r="R33" s="304"/>
      <c r="S33" s="558" t="s">
        <v>165</v>
      </c>
      <c r="T33" s="559"/>
      <c r="U33" s="559"/>
      <c r="V33" s="559"/>
      <c r="W33" s="559"/>
      <c r="X33" s="559"/>
      <c r="Y33" s="559"/>
      <c r="Z33" s="559"/>
      <c r="AA33" s="559"/>
      <c r="AB33" s="831">
        <f>C52</f>
        <v>0</v>
      </c>
      <c r="AC33" s="832"/>
      <c r="AD33" s="941">
        <f>AB33</f>
        <v>0</v>
      </c>
      <c r="AE33" s="942"/>
      <c r="AF33" s="943"/>
      <c r="AG33" s="40"/>
      <c r="AH33" s="6"/>
      <c r="AI33" s="6"/>
      <c r="AJ33" s="6"/>
      <c r="AK33" s="6"/>
      <c r="AL33" s="6"/>
      <c r="AM33" s="6"/>
      <c r="AN33" s="6"/>
    </row>
    <row r="34" spans="1:40" ht="19.5" customHeight="1">
      <c r="A34" s="187">
        <v>10</v>
      </c>
      <c r="B34" s="296">
        <f t="shared" si="8"/>
        <v>42705</v>
      </c>
      <c r="C34" s="192">
        <f>IF('Emp.-Detail'!F9="yes",E18)+IF('Emp.-Detail'!F9="NO",0)</f>
        <v>4997</v>
      </c>
      <c r="D34" s="192">
        <f>IF('Emp.-Detail'!F9="YES",K18)+IF('Emp.-Detail'!F9="NO",J18,0)</f>
        <v>0</v>
      </c>
      <c r="E34" s="195"/>
      <c r="F34" s="287">
        <f t="shared" si="9"/>
        <v>4997</v>
      </c>
      <c r="G34" s="192">
        <f t="shared" si="12"/>
        <v>0</v>
      </c>
      <c r="H34" s="194">
        <f t="shared" si="12"/>
        <v>0</v>
      </c>
      <c r="I34" s="192">
        <f t="shared" si="13"/>
        <v>2650</v>
      </c>
      <c r="J34" s="195">
        <f t="shared" si="14"/>
        <v>0</v>
      </c>
      <c r="K34" s="195"/>
      <c r="L34" s="195">
        <f t="shared" si="15"/>
        <v>0</v>
      </c>
      <c r="M34" s="196">
        <f t="shared" si="16"/>
        <v>0</v>
      </c>
      <c r="N34" s="196">
        <f t="shared" si="17"/>
        <v>0</v>
      </c>
      <c r="O34" s="196">
        <f t="shared" si="18"/>
        <v>2000</v>
      </c>
      <c r="P34" s="192">
        <v>0</v>
      </c>
      <c r="Q34" s="297">
        <f t="shared" si="11"/>
        <v>9647</v>
      </c>
      <c r="R34" s="304"/>
      <c r="S34" s="558" t="s">
        <v>301</v>
      </c>
      <c r="T34" s="559"/>
      <c r="U34" s="559"/>
      <c r="V34" s="559"/>
      <c r="W34" s="559"/>
      <c r="X34" s="559"/>
      <c r="Y34" s="559"/>
      <c r="Z34" s="559"/>
      <c r="AA34" s="559"/>
      <c r="AB34" s="831">
        <f>I48</f>
        <v>0</v>
      </c>
      <c r="AC34" s="832"/>
      <c r="AD34" s="941">
        <f>AB34*0.5</f>
        <v>0</v>
      </c>
      <c r="AE34" s="942"/>
      <c r="AF34" s="943"/>
      <c r="AG34" s="40"/>
      <c r="AH34" s="6"/>
      <c r="AI34" s="6"/>
      <c r="AJ34" s="6"/>
      <c r="AK34" s="6"/>
      <c r="AL34" s="6"/>
      <c r="AM34" s="6"/>
      <c r="AN34" s="6"/>
    </row>
    <row r="35" spans="1:40" ht="19.5" customHeight="1">
      <c r="A35" s="187">
        <v>11</v>
      </c>
      <c r="B35" s="296">
        <f t="shared" si="8"/>
        <v>42736</v>
      </c>
      <c r="C35" s="192">
        <f>IF('Emp.-Detail'!F9="yes",E19)+IF('Emp.-Detail'!F9="NO",0)</f>
        <v>4997</v>
      </c>
      <c r="D35" s="192">
        <f>IF('Emp.-Detail'!F9="YES",K19)+IF('Emp.-Detail'!F9="NO",J19,0)</f>
        <v>0</v>
      </c>
      <c r="E35" s="195"/>
      <c r="F35" s="287">
        <f t="shared" si="9"/>
        <v>4997</v>
      </c>
      <c r="G35" s="192">
        <f t="shared" si="12"/>
        <v>0</v>
      </c>
      <c r="H35" s="194">
        <f t="shared" si="12"/>
        <v>0</v>
      </c>
      <c r="I35" s="192">
        <f t="shared" si="13"/>
        <v>2650</v>
      </c>
      <c r="J35" s="195">
        <f t="shared" si="14"/>
        <v>0</v>
      </c>
      <c r="K35" s="195"/>
      <c r="L35" s="195">
        <f t="shared" si="15"/>
        <v>0</v>
      </c>
      <c r="M35" s="196">
        <f t="shared" si="16"/>
        <v>0</v>
      </c>
      <c r="N35" s="196">
        <f t="shared" si="17"/>
        <v>0</v>
      </c>
      <c r="O35" s="196">
        <f t="shared" si="18"/>
        <v>2000</v>
      </c>
      <c r="P35" s="192">
        <v>0</v>
      </c>
      <c r="Q35" s="297">
        <f t="shared" si="11"/>
        <v>9647</v>
      </c>
      <c r="R35" s="304"/>
      <c r="S35" s="558" t="s">
        <v>189</v>
      </c>
      <c r="T35" s="559"/>
      <c r="U35" s="559"/>
      <c r="V35" s="559"/>
      <c r="W35" s="559"/>
      <c r="X35" s="559"/>
      <c r="Y35" s="559"/>
      <c r="Z35" s="559"/>
      <c r="AA35" s="559"/>
      <c r="AB35" s="831">
        <f>I49</f>
        <v>0</v>
      </c>
      <c r="AC35" s="832"/>
      <c r="AD35" s="941">
        <f>AB35</f>
        <v>0</v>
      </c>
      <c r="AE35" s="942"/>
      <c r="AF35" s="943"/>
      <c r="AG35" s="40"/>
      <c r="AH35" s="6"/>
      <c r="AI35" s="6"/>
      <c r="AJ35" s="6"/>
      <c r="AK35" s="6"/>
      <c r="AL35" s="6"/>
      <c r="AM35" s="6"/>
      <c r="AN35" s="6"/>
    </row>
    <row r="36" spans="1:40" ht="19.5" customHeight="1">
      <c r="A36" s="187">
        <v>12</v>
      </c>
      <c r="B36" s="296">
        <f t="shared" si="8"/>
        <v>42767</v>
      </c>
      <c r="C36" s="192">
        <f>IF('Emp.-Detail'!F9="yes",E20)+IF('Emp.-Detail'!F9="NO",0)</f>
        <v>4997</v>
      </c>
      <c r="D36" s="192">
        <f>IF('Emp.-Detail'!F9="YES",K20)+IF('Emp.-Detail'!F9="NO",J20,0)</f>
        <v>0</v>
      </c>
      <c r="E36" s="195"/>
      <c r="F36" s="287">
        <f t="shared" si="9"/>
        <v>4997</v>
      </c>
      <c r="G36" s="192">
        <f t="shared" si="12"/>
        <v>0</v>
      </c>
      <c r="H36" s="194">
        <f t="shared" si="12"/>
        <v>0</v>
      </c>
      <c r="I36" s="192">
        <f t="shared" si="13"/>
        <v>2650</v>
      </c>
      <c r="J36" s="195">
        <f t="shared" si="14"/>
        <v>0</v>
      </c>
      <c r="K36" s="195"/>
      <c r="L36" s="195">
        <f t="shared" si="15"/>
        <v>0</v>
      </c>
      <c r="M36" s="196">
        <f t="shared" si="16"/>
        <v>0</v>
      </c>
      <c r="N36" s="196">
        <f t="shared" si="17"/>
        <v>0</v>
      </c>
      <c r="O36" s="196">
        <f t="shared" si="18"/>
        <v>2000</v>
      </c>
      <c r="P36" s="192">
        <v>0</v>
      </c>
      <c r="Q36" s="297">
        <f t="shared" si="11"/>
        <v>9647</v>
      </c>
      <c r="R36" s="304"/>
      <c r="S36" s="947" t="s">
        <v>596</v>
      </c>
      <c r="T36" s="559"/>
      <c r="U36" s="559"/>
      <c r="V36" s="559"/>
      <c r="W36" s="559"/>
      <c r="X36" s="559"/>
      <c r="Y36" s="559"/>
      <c r="Z36" s="559"/>
      <c r="AA36" s="559"/>
      <c r="AB36" s="831">
        <f>I50</f>
        <v>0</v>
      </c>
      <c r="AC36" s="832"/>
      <c r="AD36" s="941">
        <f>IF(AB36&lt;=125000,AB36,125000)</f>
        <v>0</v>
      </c>
      <c r="AE36" s="942"/>
      <c r="AF36" s="943"/>
      <c r="AG36" s="40"/>
      <c r="AH36" s="6"/>
      <c r="AI36" s="6"/>
      <c r="AJ36" s="6"/>
      <c r="AK36" s="6"/>
      <c r="AL36" s="6"/>
      <c r="AM36" s="6"/>
      <c r="AN36" s="6"/>
    </row>
    <row r="37" spans="1:40" ht="19.5" customHeight="1">
      <c r="A37" s="1013" t="s">
        <v>2</v>
      </c>
      <c r="B37" s="1014"/>
      <c r="C37" s="287">
        <f>SUM(C25:C36)</f>
        <v>58360</v>
      </c>
      <c r="D37" s="287">
        <f>SUM(D25:D36)</f>
        <v>0</v>
      </c>
      <c r="E37" s="306"/>
      <c r="F37" s="307">
        <f t="shared" si="9"/>
        <v>58360</v>
      </c>
      <c r="G37" s="287">
        <f t="shared" ref="G37:Q37" si="19">SUM(G25:G36)</f>
        <v>0</v>
      </c>
      <c r="H37" s="288">
        <f>SUM(H25:H36)</f>
        <v>0</v>
      </c>
      <c r="I37" s="287">
        <f t="shared" si="19"/>
        <v>31800</v>
      </c>
      <c r="J37" s="306">
        <f t="shared" si="19"/>
        <v>0</v>
      </c>
      <c r="K37" s="306"/>
      <c r="L37" s="306">
        <f t="shared" si="19"/>
        <v>0</v>
      </c>
      <c r="M37" s="308">
        <f t="shared" si="19"/>
        <v>0</v>
      </c>
      <c r="N37" s="308">
        <f t="shared" si="19"/>
        <v>0</v>
      </c>
      <c r="O37" s="308">
        <f t="shared" si="19"/>
        <v>18000</v>
      </c>
      <c r="P37" s="288">
        <f t="shared" si="19"/>
        <v>251.9</v>
      </c>
      <c r="Q37" s="305">
        <f t="shared" si="19"/>
        <v>108411.9</v>
      </c>
      <c r="R37" s="304"/>
      <c r="S37" s="1082" t="s">
        <v>597</v>
      </c>
      <c r="T37" s="1083"/>
      <c r="U37" s="1083"/>
      <c r="V37" s="1083"/>
      <c r="W37" s="1083"/>
      <c r="X37" s="1083"/>
      <c r="Y37" s="1083"/>
      <c r="Z37" s="1083"/>
      <c r="AA37" s="1083"/>
      <c r="AB37" s="831">
        <f>I51</f>
        <v>0</v>
      </c>
      <c r="AC37" s="832"/>
      <c r="AD37" s="941">
        <f>IF(AB37&lt;=10000,AB37,10000)</f>
        <v>0</v>
      </c>
      <c r="AE37" s="942"/>
      <c r="AF37" s="943"/>
      <c r="AG37" s="40"/>
      <c r="AH37" s="6"/>
      <c r="AI37" s="6"/>
      <c r="AJ37" s="6"/>
      <c r="AK37" s="6"/>
      <c r="AL37" s="6"/>
      <c r="AM37" s="6"/>
      <c r="AN37" s="6"/>
    </row>
    <row r="38" spans="1:40" ht="19.5" customHeight="1">
      <c r="A38" s="999" t="s">
        <v>12</v>
      </c>
      <c r="B38" s="860"/>
      <c r="C38" s="1000">
        <f>Q21</f>
        <v>680617</v>
      </c>
      <c r="D38" s="860"/>
      <c r="E38" s="309"/>
      <c r="F38" s="310"/>
      <c r="G38" s="1001" t="s">
        <v>13</v>
      </c>
      <c r="H38" s="1001"/>
      <c r="I38" s="1001"/>
      <c r="J38" s="860">
        <f>Q37</f>
        <v>108411.9</v>
      </c>
      <c r="K38" s="860"/>
      <c r="L38" s="860"/>
      <c r="M38" s="310"/>
      <c r="N38" s="998" t="s">
        <v>15</v>
      </c>
      <c r="O38" s="998"/>
      <c r="P38" s="860">
        <f>Q21-Q37</f>
        <v>572205.1</v>
      </c>
      <c r="Q38" s="861"/>
      <c r="R38" s="304"/>
      <c r="S38" s="1079" t="s">
        <v>179</v>
      </c>
      <c r="T38" s="1067"/>
      <c r="U38" s="1067"/>
      <c r="V38" s="1067"/>
      <c r="W38" s="1067"/>
      <c r="X38" s="1067"/>
      <c r="Y38" s="1067"/>
      <c r="Z38" s="1067"/>
      <c r="AA38" s="1067"/>
      <c r="AB38" s="1067"/>
      <c r="AC38" s="1067"/>
      <c r="AD38" s="944">
        <f>SUM(AD29:AD37)</f>
        <v>0</v>
      </c>
      <c r="AE38" s="945"/>
      <c r="AF38" s="946"/>
      <c r="AG38" s="40"/>
      <c r="AH38" s="6"/>
      <c r="AI38" s="6"/>
      <c r="AJ38" s="6"/>
      <c r="AK38" s="6"/>
      <c r="AL38" s="6"/>
      <c r="AM38" s="6"/>
      <c r="AN38" s="6"/>
    </row>
    <row r="39" spans="1:40"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481877</v>
      </c>
      <c r="AE39" s="949"/>
      <c r="AF39" s="950"/>
      <c r="AG39" s="40"/>
      <c r="AH39" s="6"/>
      <c r="AI39" s="6"/>
      <c r="AJ39" s="6"/>
      <c r="AK39" s="6"/>
      <c r="AL39" s="6"/>
      <c r="AM39" s="6"/>
      <c r="AN39" s="6"/>
    </row>
    <row r="40" spans="1:40" ht="19.5" customHeight="1">
      <c r="A40" s="865" t="s">
        <v>95</v>
      </c>
      <c r="B40" s="866"/>
      <c r="C40" s="866"/>
      <c r="D40" s="867"/>
      <c r="E40" s="203"/>
      <c r="F40" s="862">
        <v>25000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481880</v>
      </c>
      <c r="AE40" s="860"/>
      <c r="AF40" s="861"/>
      <c r="AG40" s="40"/>
      <c r="AH40" s="6"/>
      <c r="AI40" s="6"/>
      <c r="AJ40" s="6"/>
      <c r="AK40" s="6"/>
      <c r="AL40" s="6"/>
      <c r="AM40" s="6"/>
      <c r="AN40" s="6"/>
    </row>
    <row r="41" spans="1:40" ht="19.5" customHeight="1">
      <c r="A41" s="865" t="s">
        <v>298</v>
      </c>
      <c r="B41" s="866"/>
      <c r="C41" s="866"/>
      <c r="D41" s="867"/>
      <c r="E41" s="20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23188</v>
      </c>
      <c r="AE41" s="951"/>
      <c r="AF41" s="952"/>
      <c r="AG41" s="40"/>
      <c r="AH41" s="6"/>
      <c r="AI41" s="6"/>
      <c r="AJ41" s="6"/>
      <c r="AK41" s="6"/>
      <c r="AL41" s="6"/>
      <c r="AM41" s="6"/>
      <c r="AN41" s="6"/>
    </row>
    <row r="42" spans="1:40" ht="19.5" customHeight="1">
      <c r="A42" s="865" t="s">
        <v>96</v>
      </c>
      <c r="B42" s="866"/>
      <c r="C42" s="866"/>
      <c r="D42" s="867"/>
      <c r="E42" s="20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18188</v>
      </c>
      <c r="AE42" s="951"/>
      <c r="AF42" s="952"/>
      <c r="AG42" s="40"/>
      <c r="AH42" s="6"/>
      <c r="AI42" s="6"/>
      <c r="AJ42" s="6"/>
      <c r="AK42" s="6"/>
      <c r="AL42" s="6"/>
      <c r="AM42" s="6"/>
      <c r="AN42" s="6"/>
    </row>
    <row r="43" spans="1:40" ht="19.5" customHeight="1">
      <c r="A43" s="865" t="s">
        <v>97</v>
      </c>
      <c r="B43" s="866"/>
      <c r="C43" s="866"/>
      <c r="D43" s="867"/>
      <c r="E43" s="203"/>
      <c r="F43" s="862">
        <v>0</v>
      </c>
      <c r="G43" s="863"/>
      <c r="H43" s="863"/>
      <c r="I43" s="864"/>
      <c r="J43" s="997" t="s">
        <v>103</v>
      </c>
      <c r="K43" s="866"/>
      <c r="L43" s="866"/>
      <c r="M43" s="866"/>
      <c r="N43" s="866"/>
      <c r="O43" s="867"/>
      <c r="P43" s="862">
        <v>0</v>
      </c>
      <c r="Q43" s="1019"/>
      <c r="R43" s="197"/>
      <c r="S43" s="1079" t="s">
        <v>83</v>
      </c>
      <c r="T43" s="1067"/>
      <c r="U43" s="949">
        <f>ROUND((AD42*2%),0)</f>
        <v>364</v>
      </c>
      <c r="V43" s="949"/>
      <c r="W43" s="949"/>
      <c r="X43" s="1067" t="s">
        <v>84</v>
      </c>
      <c r="Y43" s="1067"/>
      <c r="Z43" s="1067"/>
      <c r="AA43" s="953">
        <f>ROUND((AD42*1%),0)</f>
        <v>182</v>
      </c>
      <c r="AB43" s="953"/>
      <c r="AC43" s="953"/>
      <c r="AD43" s="951">
        <f>U43+AA43</f>
        <v>546</v>
      </c>
      <c r="AE43" s="951"/>
      <c r="AF43" s="952"/>
      <c r="AG43" s="40"/>
      <c r="AH43" s="6"/>
      <c r="AI43" s="6"/>
      <c r="AJ43" s="6"/>
      <c r="AK43" s="6"/>
      <c r="AL43" s="6"/>
      <c r="AM43" s="6"/>
      <c r="AN43" s="6"/>
    </row>
    <row r="44" spans="1:40" ht="19.5" customHeight="1">
      <c r="A44" s="865" t="s">
        <v>98</v>
      </c>
      <c r="B44" s="866"/>
      <c r="C44" s="866"/>
      <c r="D44" s="867"/>
      <c r="E44" s="20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18734</v>
      </c>
      <c r="AE44" s="951"/>
      <c r="AF44" s="952"/>
      <c r="AG44" s="40"/>
      <c r="AH44" s="6"/>
      <c r="AI44" s="6"/>
      <c r="AJ44" s="6"/>
      <c r="AK44" s="6"/>
      <c r="AL44" s="6"/>
      <c r="AM44" s="6"/>
      <c r="AN44" s="6"/>
    </row>
    <row r="45" spans="1:40" ht="19.5" customHeight="1">
      <c r="A45" s="865" t="s">
        <v>99</v>
      </c>
      <c r="B45" s="866"/>
      <c r="C45" s="866"/>
      <c r="D45" s="867"/>
      <c r="E45" s="203"/>
      <c r="F45" s="862">
        <v>25000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40"/>
      <c r="AH45" s="6"/>
      <c r="AI45" s="6"/>
      <c r="AJ45" s="6"/>
      <c r="AK45" s="6"/>
      <c r="AL45" s="6"/>
      <c r="AM45" s="6"/>
      <c r="AN45" s="6"/>
    </row>
    <row r="46" spans="1:40" ht="19.5" customHeight="1">
      <c r="A46" s="865" t="s">
        <v>278</v>
      </c>
      <c r="B46" s="866"/>
      <c r="C46" s="866"/>
      <c r="D46" s="867"/>
      <c r="E46" s="203"/>
      <c r="F46" s="862">
        <v>0</v>
      </c>
      <c r="G46" s="863"/>
      <c r="H46" s="863"/>
      <c r="I46" s="864"/>
      <c r="J46" s="994" t="s">
        <v>26</v>
      </c>
      <c r="K46" s="995"/>
      <c r="L46" s="995"/>
      <c r="M46" s="995"/>
      <c r="N46" s="995"/>
      <c r="O46" s="996"/>
      <c r="P46" s="941">
        <f>IF('Emp.-Detail'!F9="NO",0,ROUND(E21+K21,0))</f>
        <v>58360</v>
      </c>
      <c r="Q46" s="943"/>
      <c r="R46" s="22"/>
      <c r="S46" s="1071" t="s">
        <v>87</v>
      </c>
      <c r="T46" s="1072"/>
      <c r="U46" s="1072"/>
      <c r="V46" s="1072"/>
      <c r="W46" s="1072"/>
      <c r="X46" s="1072"/>
      <c r="Y46" s="1072"/>
      <c r="Z46" s="1072"/>
      <c r="AA46" s="1072"/>
      <c r="AB46" s="1072"/>
      <c r="AC46" s="1072"/>
      <c r="AD46" s="796">
        <f>AD44-AD45</f>
        <v>18734</v>
      </c>
      <c r="AE46" s="860"/>
      <c r="AF46" s="861"/>
      <c r="AG46" s="40"/>
      <c r="AH46" s="6"/>
      <c r="AI46" s="6"/>
      <c r="AJ46" s="6"/>
      <c r="AK46" s="6"/>
      <c r="AL46" s="6"/>
      <c r="AM46" s="6"/>
      <c r="AN46" s="6"/>
    </row>
    <row r="47" spans="1:40" ht="19.5" customHeight="1">
      <c r="A47" s="871" t="s">
        <v>16</v>
      </c>
      <c r="B47" s="872"/>
      <c r="C47" s="872"/>
      <c r="D47" s="872"/>
      <c r="E47" s="872"/>
      <c r="F47" s="872"/>
      <c r="G47" s="872"/>
      <c r="H47" s="872"/>
      <c r="I47" s="872"/>
      <c r="J47" s="872"/>
      <c r="K47" s="207"/>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312"/>
      <c r="AG47" s="40"/>
      <c r="AH47" s="6"/>
      <c r="AI47" s="6"/>
      <c r="AJ47" s="6"/>
      <c r="AK47" s="6"/>
      <c r="AL47" s="6"/>
      <c r="AM47" s="6"/>
      <c r="AN47" s="6"/>
    </row>
    <row r="48" spans="1:40" ht="19.5" customHeight="1">
      <c r="A48" s="868" t="s">
        <v>187</v>
      </c>
      <c r="B48" s="869"/>
      <c r="C48" s="862">
        <v>0</v>
      </c>
      <c r="D48" s="864"/>
      <c r="E48" s="204"/>
      <c r="F48" s="828" t="s">
        <v>106</v>
      </c>
      <c r="G48" s="829"/>
      <c r="H48" s="824"/>
      <c r="I48" s="862">
        <v>0</v>
      </c>
      <c r="J48" s="863"/>
      <c r="K48" s="204"/>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313"/>
      <c r="AG48" s="40"/>
      <c r="AH48" s="6"/>
      <c r="AI48" s="6"/>
      <c r="AJ48" s="6"/>
      <c r="AK48" s="6"/>
      <c r="AL48" s="6"/>
      <c r="AM48" s="6"/>
      <c r="AN48" s="6"/>
    </row>
    <row r="49" spans="1:40" ht="19.5" customHeight="1">
      <c r="A49" s="823" t="s">
        <v>78</v>
      </c>
      <c r="B49" s="824"/>
      <c r="C49" s="862">
        <v>0</v>
      </c>
      <c r="D49" s="864"/>
      <c r="E49" s="204"/>
      <c r="F49" s="828" t="s">
        <v>188</v>
      </c>
      <c r="G49" s="829"/>
      <c r="H49" s="824"/>
      <c r="I49" s="862">
        <v>0</v>
      </c>
      <c r="J49" s="863"/>
      <c r="K49" s="204"/>
      <c r="L49" s="1194" t="s">
        <v>194</v>
      </c>
      <c r="M49" s="1194"/>
      <c r="N49" s="1194"/>
      <c r="O49" s="1020">
        <v>0</v>
      </c>
      <c r="P49" s="1020"/>
      <c r="Q49" s="206">
        <v>0</v>
      </c>
      <c r="R49" s="176"/>
      <c r="S49" s="1080">
        <f>SUM(O25:O27)</f>
        <v>3000</v>
      </c>
      <c r="T49" s="1081"/>
      <c r="U49" s="1081"/>
      <c r="V49" s="1070">
        <f>SUM(O28:O30)</f>
        <v>3000</v>
      </c>
      <c r="W49" s="1070"/>
      <c r="X49" s="1070"/>
      <c r="Y49" s="1070">
        <f>SUM(O31:O33)</f>
        <v>6000</v>
      </c>
      <c r="Z49" s="1070"/>
      <c r="AA49" s="1070"/>
      <c r="AB49" s="951">
        <f>SUM(O34:O36)</f>
        <v>6000</v>
      </c>
      <c r="AC49" s="951"/>
      <c r="AD49" s="951"/>
      <c r="AE49" s="951"/>
      <c r="AF49" s="313"/>
      <c r="AG49" s="40"/>
      <c r="AH49" s="6"/>
      <c r="AI49" s="6"/>
      <c r="AJ49" s="6"/>
      <c r="AK49" s="6"/>
      <c r="AL49" s="6"/>
      <c r="AM49" s="6"/>
      <c r="AN49" s="6"/>
    </row>
    <row r="50" spans="1:40" ht="19.5" customHeight="1">
      <c r="A50" s="823" t="s">
        <v>79</v>
      </c>
      <c r="B50" s="824"/>
      <c r="C50" s="1020">
        <v>0</v>
      </c>
      <c r="D50" s="1020"/>
      <c r="E50" s="202"/>
      <c r="F50" s="828" t="s">
        <v>81</v>
      </c>
      <c r="G50" s="829"/>
      <c r="H50" s="824"/>
      <c r="I50" s="1020">
        <v>0</v>
      </c>
      <c r="J50" s="862"/>
      <c r="K50" s="202"/>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18000</v>
      </c>
      <c r="AE50" s="796"/>
      <c r="AF50" s="797"/>
      <c r="AG50" s="40"/>
      <c r="AH50" s="6"/>
      <c r="AI50" s="6"/>
      <c r="AJ50" s="6"/>
      <c r="AK50" s="6"/>
      <c r="AL50" s="6"/>
      <c r="AM50" s="6"/>
      <c r="AN50" s="6"/>
    </row>
    <row r="51" spans="1:40" ht="19.5" customHeight="1">
      <c r="A51" s="823" t="s">
        <v>80</v>
      </c>
      <c r="B51" s="824"/>
      <c r="C51" s="862">
        <v>0</v>
      </c>
      <c r="D51" s="864"/>
      <c r="E51" s="205"/>
      <c r="F51" s="828" t="s">
        <v>142</v>
      </c>
      <c r="G51" s="829"/>
      <c r="H51" s="824"/>
      <c r="I51" s="1020">
        <v>0</v>
      </c>
      <c r="J51" s="862"/>
      <c r="K51" s="202"/>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734</v>
      </c>
      <c r="AE51" s="951"/>
      <c r="AF51" s="952"/>
      <c r="AG51" s="40"/>
      <c r="AH51" s="6"/>
      <c r="AI51" s="6"/>
      <c r="AJ51" s="6"/>
      <c r="AK51" s="6"/>
      <c r="AL51" s="6"/>
      <c r="AM51" s="6"/>
      <c r="AN51" s="6"/>
    </row>
    <row r="52" spans="1:40"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40"/>
      <c r="AH52" s="6"/>
      <c r="AI52" s="6"/>
      <c r="AJ52" s="6"/>
      <c r="AK52" s="6"/>
      <c r="AL52" s="6"/>
      <c r="AM52" s="6"/>
      <c r="AN52" s="6"/>
    </row>
    <row r="53" spans="1:40" s="50" customFormat="1" ht="19.5" customHeight="1">
      <c r="A53" s="825" t="s">
        <v>593</v>
      </c>
      <c r="B53" s="826"/>
      <c r="C53" s="826"/>
      <c r="D53" s="826"/>
      <c r="E53" s="826"/>
      <c r="F53" s="826"/>
      <c r="G53" s="826"/>
      <c r="H53" s="827"/>
      <c r="I53" s="1020">
        <v>0</v>
      </c>
      <c r="J53" s="862"/>
      <c r="K53" s="202"/>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51"/>
      <c r="AH53" s="70"/>
    </row>
    <row r="54" spans="1:40" s="50" customFormat="1" ht="19.5" customHeight="1">
      <c r="A54" s="825" t="s">
        <v>190</v>
      </c>
      <c r="B54" s="826"/>
      <c r="C54" s="826"/>
      <c r="D54" s="826"/>
      <c r="E54" s="826"/>
      <c r="F54" s="826"/>
      <c r="G54" s="826"/>
      <c r="H54" s="827"/>
      <c r="I54" s="1020">
        <v>0</v>
      </c>
      <c r="J54" s="862"/>
      <c r="K54" s="202"/>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51"/>
    </row>
    <row r="55" spans="1:40" s="50" customFormat="1" ht="19.5" customHeight="1" thickBot="1">
      <c r="A55" s="1060" t="s">
        <v>191</v>
      </c>
      <c r="B55" s="1061"/>
      <c r="C55" s="1061"/>
      <c r="D55" s="1061"/>
      <c r="E55" s="1061"/>
      <c r="F55" s="1061"/>
      <c r="G55" s="1062"/>
      <c r="H55" s="314"/>
      <c r="I55" s="1191">
        <v>0</v>
      </c>
      <c r="J55" s="1192"/>
      <c r="K55" s="208"/>
      <c r="L55" s="1175" t="s">
        <v>198</v>
      </c>
      <c r="M55" s="1175"/>
      <c r="N55" s="1175"/>
      <c r="O55" s="1177">
        <v>0</v>
      </c>
      <c r="P55" s="1177"/>
      <c r="Q55" s="1023"/>
      <c r="R55" s="70"/>
      <c r="S55" s="1202"/>
      <c r="T55" s="1203"/>
      <c r="U55" s="1203"/>
      <c r="V55" s="1203"/>
      <c r="W55" s="765"/>
      <c r="X55" s="765"/>
      <c r="Y55" s="765"/>
      <c r="Z55" s="765"/>
      <c r="AA55" s="765"/>
      <c r="AB55" s="1203" t="str">
        <f>S3</f>
        <v>MADAN LAL PILANIYA</v>
      </c>
      <c r="AC55" s="1203"/>
      <c r="AD55" s="1203"/>
      <c r="AE55" s="1203"/>
      <c r="AF55" s="317"/>
      <c r="AG55" s="151"/>
    </row>
    <row r="56" spans="1:40" ht="3" customHeight="1" thickBot="1">
      <c r="A56" s="1172"/>
      <c r="B56" s="1172"/>
      <c r="C56" s="1172"/>
      <c r="D56" s="1172"/>
      <c r="E56" s="1172"/>
      <c r="F56" s="1172"/>
      <c r="G56" s="1172"/>
      <c r="H56" s="1172"/>
      <c r="I56" s="1172"/>
      <c r="J56" s="1172"/>
      <c r="K56" s="1172"/>
      <c r="L56" s="1172"/>
      <c r="M56" s="1172"/>
      <c r="N56" s="1172"/>
      <c r="O56" s="1172"/>
      <c r="P56" s="1172"/>
      <c r="Q56" s="1172"/>
      <c r="R56" s="1172"/>
      <c r="S56" s="1172"/>
      <c r="T56" s="1172"/>
      <c r="U56" s="1172"/>
      <c r="V56" s="1172"/>
      <c r="W56" s="1172"/>
      <c r="X56" s="1172"/>
      <c r="Y56" s="1172"/>
      <c r="Z56" s="1172"/>
      <c r="AA56" s="1172"/>
      <c r="AB56" s="1172"/>
      <c r="AC56" s="1172"/>
      <c r="AD56" s="1172"/>
      <c r="AE56" s="1172"/>
      <c r="AF56" s="231"/>
      <c r="AG56" s="40"/>
      <c r="AH56" s="6"/>
      <c r="AI56" s="6"/>
      <c r="AJ56" s="6"/>
      <c r="AK56" s="6"/>
      <c r="AL56" s="6"/>
      <c r="AM56" s="6"/>
      <c r="AN56" s="6"/>
    </row>
    <row r="57" spans="1:40" s="6" customFormat="1"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40"/>
      <c r="AH57" s="2"/>
      <c r="AI57" s="2"/>
    </row>
    <row r="58" spans="1:40" s="6" customFormat="1"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738977</v>
      </c>
      <c r="AE58" s="1216"/>
      <c r="AF58" s="234"/>
      <c r="AG58" s="40"/>
      <c r="AH58" s="2"/>
    </row>
    <row r="59" spans="1:40" s="6" customFormat="1"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738977</v>
      </c>
      <c r="AE59" s="788"/>
      <c r="AF59" s="789"/>
      <c r="AG59" s="40"/>
      <c r="AH59" s="2"/>
    </row>
    <row r="60" spans="1:40" s="1" customFormat="1"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738977</v>
      </c>
      <c r="AC60" s="787"/>
      <c r="AD60" s="1223"/>
      <c r="AE60" s="1224"/>
      <c r="AF60" s="236"/>
      <c r="AG60" s="40"/>
      <c r="AH60" s="6"/>
      <c r="AI60" s="6"/>
      <c r="AJ60" s="6"/>
      <c r="AK60" s="6"/>
      <c r="AL60" s="6"/>
      <c r="AM60" s="6"/>
      <c r="AN60" s="6"/>
    </row>
    <row r="61" spans="1:40" ht="19.350000000000001" customHeight="1">
      <c r="A61" s="888" t="str">
        <f>'DDO '!L8</f>
        <v>LADURAM JAT</v>
      </c>
      <c r="B61" s="889"/>
      <c r="C61" s="890"/>
      <c r="D61" s="1041" t="str">
        <f>'DDO '!L22</f>
        <v>Govt. PCB Sr. Sec. School, Sujangarh</v>
      </c>
      <c r="E61" s="1042"/>
      <c r="F61" s="1042"/>
      <c r="G61" s="1042"/>
      <c r="H61" s="1042"/>
      <c r="I61" s="1043"/>
      <c r="J61" s="1049" t="str">
        <f>D4</f>
        <v>MADAN LAL PILANIYA</v>
      </c>
      <c r="K61" s="1050"/>
      <c r="L61" s="1050"/>
      <c r="M61" s="1050"/>
      <c r="N61" s="1051"/>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40"/>
      <c r="AH61" s="6"/>
      <c r="AI61" s="6"/>
      <c r="AJ61" s="6"/>
      <c r="AK61" s="6"/>
      <c r="AL61" s="6"/>
      <c r="AM61" s="6"/>
      <c r="AN61" s="6"/>
    </row>
    <row r="62" spans="1:40"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AQPPP7545Q</v>
      </c>
      <c r="P62" s="791"/>
      <c r="Q62" s="859"/>
      <c r="R62" s="235"/>
      <c r="S62" s="790" t="s">
        <v>64</v>
      </c>
      <c r="T62" s="791"/>
      <c r="U62" s="791"/>
      <c r="V62" s="791"/>
      <c r="W62" s="791"/>
      <c r="X62" s="792"/>
      <c r="Y62" s="793" t="s">
        <v>88</v>
      </c>
      <c r="Z62" s="791"/>
      <c r="AA62" s="791"/>
      <c r="AB62" s="1206"/>
      <c r="AC62" s="1207"/>
      <c r="AD62" s="813"/>
      <c r="AE62" s="814"/>
      <c r="AF62" s="234"/>
      <c r="AG62" s="40"/>
      <c r="AH62" s="2"/>
      <c r="AI62" s="2"/>
      <c r="AJ62" s="6"/>
      <c r="AK62" s="6"/>
      <c r="AL62" s="6"/>
      <c r="AM62" s="6"/>
      <c r="AN62" s="6"/>
    </row>
    <row r="63" spans="1:40" ht="19.350000000000001" customHeight="1">
      <c r="A63" s="790" t="s">
        <v>32</v>
      </c>
      <c r="B63" s="791"/>
      <c r="C63" s="792"/>
      <c r="D63" s="793" t="str">
        <f>'DDO '!L13</f>
        <v>JPRG04123A</v>
      </c>
      <c r="E63" s="791"/>
      <c r="F63" s="791"/>
      <c r="G63" s="791"/>
      <c r="H63" s="791"/>
      <c r="I63" s="792"/>
      <c r="J63" s="1046" t="s">
        <v>34</v>
      </c>
      <c r="K63" s="1047"/>
      <c r="L63" s="1047"/>
      <c r="M63" s="1047"/>
      <c r="N63" s="1048"/>
      <c r="O63" s="793">
        <f>P5</f>
        <v>9928390871</v>
      </c>
      <c r="P63" s="791"/>
      <c r="Q63" s="859"/>
      <c r="R63" s="235"/>
      <c r="S63" s="790" t="s">
        <v>65</v>
      </c>
      <c r="T63" s="791"/>
      <c r="U63" s="791"/>
      <c r="V63" s="791"/>
      <c r="W63" s="791"/>
      <c r="X63" s="792"/>
      <c r="Y63" s="775">
        <f>AA14</f>
        <v>0</v>
      </c>
      <c r="Z63" s="788"/>
      <c r="AA63" s="788"/>
      <c r="AB63" s="775">
        <f>Y63</f>
        <v>0</v>
      </c>
      <c r="AC63" s="776"/>
      <c r="AD63" s="1206"/>
      <c r="AE63" s="1225"/>
      <c r="AF63" s="234"/>
      <c r="AG63" s="40"/>
      <c r="AH63" s="6"/>
      <c r="AI63" s="6"/>
      <c r="AJ63" s="6"/>
      <c r="AK63" s="6"/>
      <c r="AL63" s="6"/>
      <c r="AM63" s="6"/>
      <c r="AN63" s="6"/>
    </row>
    <row r="64" spans="1:40"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738977</v>
      </c>
      <c r="AE64" s="809"/>
      <c r="AF64" s="234"/>
      <c r="AG64" s="40"/>
      <c r="AH64" s="6"/>
      <c r="AI64" s="6"/>
      <c r="AJ64" s="6"/>
      <c r="AK64" s="6"/>
      <c r="AL64" s="6"/>
      <c r="AM64" s="6"/>
      <c r="AN64" s="6"/>
    </row>
    <row r="65" spans="1:40"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'Emp.-Detail'!O9</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40"/>
      <c r="AH65" s="6"/>
      <c r="AI65" s="6"/>
      <c r="AJ65" s="6"/>
      <c r="AK65" s="6"/>
      <c r="AL65" s="6"/>
      <c r="AM65" s="6"/>
      <c r="AN65" s="6"/>
    </row>
    <row r="66" spans="1:40"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40"/>
      <c r="AH66" s="6"/>
      <c r="AI66" s="6"/>
      <c r="AJ66" s="6"/>
      <c r="AK66" s="6"/>
      <c r="AL66" s="6"/>
      <c r="AM66" s="6"/>
      <c r="AN66" s="6"/>
    </row>
    <row r="67" spans="1:40"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0</v>
      </c>
      <c r="AA67" s="776"/>
      <c r="AB67" s="798"/>
      <c r="AC67" s="799"/>
      <c r="AD67" s="798"/>
      <c r="AE67" s="1173"/>
      <c r="AF67" s="234"/>
      <c r="AG67" s="40"/>
      <c r="AH67" s="6"/>
      <c r="AI67" s="6"/>
      <c r="AJ67" s="6"/>
      <c r="AK67" s="6"/>
      <c r="AL67" s="6"/>
      <c r="AM67" s="6"/>
      <c r="AN67" s="6"/>
    </row>
    <row r="68" spans="1:40"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31800</v>
      </c>
      <c r="AA68" s="776"/>
      <c r="AB68" s="800"/>
      <c r="AC68" s="801"/>
      <c r="AD68" s="800"/>
      <c r="AE68" s="411"/>
      <c r="AF68" s="234"/>
      <c r="AG68" s="40"/>
      <c r="AH68" s="6"/>
      <c r="AI68" s="6"/>
      <c r="AJ68" s="6"/>
      <c r="AK68" s="6"/>
      <c r="AL68" s="6"/>
      <c r="AM68" s="6"/>
      <c r="AN68" s="6"/>
    </row>
    <row r="69" spans="1:40" ht="19.350000000000001" customHeight="1">
      <c r="A69" s="790" t="s">
        <v>38</v>
      </c>
      <c r="B69" s="792"/>
      <c r="C69" s="847" t="str">
        <f>'DDO '!B23</f>
        <v>00</v>
      </c>
      <c r="D69" s="847"/>
      <c r="E69" s="847"/>
      <c r="F69" s="847"/>
      <c r="G69" s="847"/>
      <c r="H69" s="1024" t="str">
        <f>'DDO '!B24</f>
        <v>00/00/0000</v>
      </c>
      <c r="I69" s="847"/>
      <c r="J69" s="775">
        <f>SUM(Q9:Q11)</f>
        <v>218134</v>
      </c>
      <c r="K69" s="788"/>
      <c r="L69" s="788"/>
      <c r="M69" s="776"/>
      <c r="N69" s="775">
        <f>SUM(O25:O27)</f>
        <v>3000</v>
      </c>
      <c r="O69" s="776"/>
      <c r="P69" s="775">
        <f>N69</f>
        <v>3000</v>
      </c>
      <c r="Q69" s="789"/>
      <c r="R69" s="88"/>
      <c r="S69" s="782" t="s">
        <v>69</v>
      </c>
      <c r="T69" s="783"/>
      <c r="U69" s="783"/>
      <c r="V69" s="783"/>
      <c r="W69" s="783"/>
      <c r="X69" s="783"/>
      <c r="Y69" s="784"/>
      <c r="Z69" s="775">
        <f>V19+V21+V22+V25</f>
        <v>25000</v>
      </c>
      <c r="AA69" s="776"/>
      <c r="AB69" s="800"/>
      <c r="AC69" s="801"/>
      <c r="AD69" s="800"/>
      <c r="AE69" s="411"/>
      <c r="AF69" s="234"/>
      <c r="AG69" s="40"/>
      <c r="AH69" s="6"/>
      <c r="AI69" s="6"/>
      <c r="AJ69" s="6"/>
      <c r="AK69" s="6"/>
      <c r="AL69" s="6"/>
      <c r="AM69" s="6"/>
      <c r="AN69" s="6"/>
    </row>
    <row r="70" spans="1:40" ht="19.350000000000001" customHeight="1">
      <c r="A70" s="790" t="s">
        <v>39</v>
      </c>
      <c r="B70" s="792"/>
      <c r="C70" s="847" t="str">
        <f>'DDO '!F23</f>
        <v>00</v>
      </c>
      <c r="D70" s="847"/>
      <c r="E70" s="847"/>
      <c r="F70" s="847"/>
      <c r="G70" s="847"/>
      <c r="H70" s="1024" t="str">
        <f>'DDO '!F24</f>
        <v>00/00/0000</v>
      </c>
      <c r="I70" s="847"/>
      <c r="J70" s="775">
        <f>SUM(Q12:Q14)</f>
        <v>151012</v>
      </c>
      <c r="K70" s="788"/>
      <c r="L70" s="788"/>
      <c r="M70" s="776"/>
      <c r="N70" s="775">
        <f>SUM(O28:O30)</f>
        <v>3000</v>
      </c>
      <c r="O70" s="776"/>
      <c r="P70" s="775">
        <f>N70</f>
        <v>3000</v>
      </c>
      <c r="Q70" s="789"/>
      <c r="R70" s="235"/>
      <c r="S70" s="782" t="s">
        <v>70</v>
      </c>
      <c r="T70" s="783"/>
      <c r="U70" s="783"/>
      <c r="V70" s="783"/>
      <c r="W70" s="783"/>
      <c r="X70" s="783"/>
      <c r="Y70" s="784"/>
      <c r="Z70" s="775">
        <f>V20</f>
        <v>220</v>
      </c>
      <c r="AA70" s="776"/>
      <c r="AB70" s="800"/>
      <c r="AC70" s="801"/>
      <c r="AD70" s="800"/>
      <c r="AE70" s="411"/>
      <c r="AF70" s="234"/>
      <c r="AG70" s="40"/>
      <c r="AH70" s="6"/>
      <c r="AI70" s="6"/>
      <c r="AJ70" s="6"/>
      <c r="AK70" s="6"/>
      <c r="AL70" s="6"/>
      <c r="AM70" s="6"/>
      <c r="AN70" s="6"/>
    </row>
    <row r="71" spans="1:40" ht="19.350000000000001" customHeight="1">
      <c r="A71" s="790" t="s">
        <v>40</v>
      </c>
      <c r="B71" s="792"/>
      <c r="C71" s="847" t="str">
        <f>'DDO '!H23</f>
        <v>00</v>
      </c>
      <c r="D71" s="847"/>
      <c r="E71" s="847"/>
      <c r="F71" s="847"/>
      <c r="G71" s="847"/>
      <c r="H71" s="1024" t="str">
        <f>'DDO '!H24</f>
        <v>00/00/0000</v>
      </c>
      <c r="I71" s="847"/>
      <c r="J71" s="775">
        <f>SUM(Q15:Q17)</f>
        <v>155087</v>
      </c>
      <c r="K71" s="788"/>
      <c r="L71" s="788"/>
      <c r="M71" s="776"/>
      <c r="N71" s="775">
        <f>SUM(O31:O33)</f>
        <v>6000</v>
      </c>
      <c r="O71" s="776"/>
      <c r="P71" s="775">
        <f t="shared" ref="P71:P72" si="20">N71</f>
        <v>6000</v>
      </c>
      <c r="Q71" s="789"/>
      <c r="R71" s="235"/>
      <c r="S71" s="782" t="s">
        <v>71</v>
      </c>
      <c r="T71" s="783"/>
      <c r="U71" s="783"/>
      <c r="V71" s="783"/>
      <c r="W71" s="783"/>
      <c r="X71" s="783"/>
      <c r="Y71" s="784"/>
      <c r="Z71" s="775">
        <f>V23</f>
        <v>0</v>
      </c>
      <c r="AA71" s="776"/>
      <c r="AB71" s="800"/>
      <c r="AC71" s="801"/>
      <c r="AD71" s="800"/>
      <c r="AE71" s="411"/>
      <c r="AF71" s="234"/>
      <c r="AG71" s="40"/>
      <c r="AH71" s="6"/>
      <c r="AI71" s="6"/>
      <c r="AJ71" s="6"/>
      <c r="AK71" s="6"/>
      <c r="AL71" s="6"/>
      <c r="AM71" s="6"/>
      <c r="AN71" s="6"/>
    </row>
    <row r="72" spans="1:40" ht="19.350000000000001" customHeight="1">
      <c r="A72" s="790" t="s">
        <v>41</v>
      </c>
      <c r="B72" s="792"/>
      <c r="C72" s="847" t="str">
        <f>'DDO '!L23</f>
        <v>00</v>
      </c>
      <c r="D72" s="847"/>
      <c r="E72" s="847"/>
      <c r="F72" s="847"/>
      <c r="G72" s="847"/>
      <c r="H72" s="1024" t="str">
        <f>'DDO '!L24</f>
        <v>00/00/0000</v>
      </c>
      <c r="I72" s="847"/>
      <c r="J72" s="775">
        <f>SUM(Q18:Q20)</f>
        <v>156384</v>
      </c>
      <c r="K72" s="788"/>
      <c r="L72" s="788"/>
      <c r="M72" s="776"/>
      <c r="N72" s="775">
        <f>SUM(O34:O36)</f>
        <v>6000</v>
      </c>
      <c r="O72" s="776"/>
      <c r="P72" s="775">
        <f t="shared" si="20"/>
        <v>6000</v>
      </c>
      <c r="Q72" s="789"/>
      <c r="R72" s="235"/>
      <c r="S72" s="782" t="s">
        <v>72</v>
      </c>
      <c r="T72" s="783"/>
      <c r="U72" s="783"/>
      <c r="V72" s="783"/>
      <c r="W72" s="783"/>
      <c r="X72" s="783"/>
      <c r="Y72" s="784"/>
      <c r="Z72" s="775">
        <f>V24</f>
        <v>0</v>
      </c>
      <c r="AA72" s="776"/>
      <c r="AB72" s="800"/>
      <c r="AC72" s="801"/>
      <c r="AD72" s="800"/>
      <c r="AE72" s="411"/>
      <c r="AF72" s="234"/>
      <c r="AG72" s="40"/>
      <c r="AH72" s="6"/>
      <c r="AI72" s="6"/>
      <c r="AJ72" s="6"/>
      <c r="AK72" s="6"/>
      <c r="AL72" s="6"/>
      <c r="AM72" s="6"/>
      <c r="AN72" s="6"/>
    </row>
    <row r="73" spans="1:40" ht="19.350000000000001" customHeight="1">
      <c r="A73" s="1025" t="s">
        <v>10</v>
      </c>
      <c r="B73" s="849"/>
      <c r="C73" s="849"/>
      <c r="D73" s="849"/>
      <c r="E73" s="849"/>
      <c r="F73" s="849"/>
      <c r="G73" s="849"/>
      <c r="H73" s="849"/>
      <c r="I73" s="1026"/>
      <c r="J73" s="845">
        <f>SUM(J69:J72)</f>
        <v>680617</v>
      </c>
      <c r="K73" s="808"/>
      <c r="L73" s="808"/>
      <c r="M73" s="809"/>
      <c r="N73" s="845">
        <f>SUM(N69:N72)</f>
        <v>18000</v>
      </c>
      <c r="O73" s="809"/>
      <c r="P73" s="845">
        <f>SUM(P69:P72)</f>
        <v>18000</v>
      </c>
      <c r="Q73" s="846"/>
      <c r="R73" s="235"/>
      <c r="S73" s="782" t="s">
        <v>300</v>
      </c>
      <c r="T73" s="783"/>
      <c r="U73" s="783"/>
      <c r="V73" s="783"/>
      <c r="W73" s="783"/>
      <c r="X73" s="783"/>
      <c r="Y73" s="784"/>
      <c r="Z73" s="775">
        <f>AD22</f>
        <v>0</v>
      </c>
      <c r="AA73" s="776"/>
      <c r="AB73" s="800"/>
      <c r="AC73" s="801"/>
      <c r="AD73" s="800"/>
      <c r="AE73" s="411"/>
      <c r="AF73" s="234"/>
      <c r="AG73" s="40"/>
      <c r="AH73" s="6"/>
      <c r="AI73" s="6"/>
      <c r="AJ73" s="6"/>
      <c r="AK73" s="6"/>
      <c r="AL73" s="6"/>
      <c r="AM73" s="6"/>
      <c r="AN73" s="6"/>
    </row>
    <row r="74" spans="1:40" s="6" customFormat="1"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25000</v>
      </c>
      <c r="AA74" s="776"/>
      <c r="AB74" s="800"/>
      <c r="AC74" s="801"/>
      <c r="AD74" s="800"/>
      <c r="AE74" s="411"/>
      <c r="AF74" s="234"/>
      <c r="AG74" s="40"/>
    </row>
    <row r="75" spans="1:40" s="6" customFormat="1"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40"/>
    </row>
    <row r="76" spans="1:40" s="6" customFormat="1" ht="19.350000000000001" customHeight="1">
      <c r="A76" s="1030" t="s">
        <v>377</v>
      </c>
      <c r="B76" s="1031"/>
      <c r="C76" s="1031"/>
      <c r="D76" s="219">
        <f>O25</f>
        <v>1000</v>
      </c>
      <c r="E76" s="219"/>
      <c r="F76" s="219">
        <f>O26</f>
        <v>1000</v>
      </c>
      <c r="G76" s="219">
        <f>O27</f>
        <v>1000</v>
      </c>
      <c r="H76" s="219">
        <f>O28</f>
        <v>1000</v>
      </c>
      <c r="I76" s="219">
        <f>O29</f>
        <v>1000</v>
      </c>
      <c r="J76" s="219">
        <f>O30</f>
        <v>1000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40"/>
    </row>
    <row r="77" spans="1:40" s="6" customFormat="1"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40"/>
    </row>
    <row r="78" spans="1:40" s="6" customFormat="1"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40"/>
    </row>
    <row r="79" spans="1:40" s="6" customFormat="1"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40"/>
    </row>
    <row r="80" spans="1:40" s="6" customFormat="1"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40"/>
    </row>
    <row r="81" spans="1:40"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58360</v>
      </c>
      <c r="AA81" s="776"/>
      <c r="AB81" s="773">
        <f>SUM(Z67:Z81)</f>
        <v>140380</v>
      </c>
      <c r="AC81" s="1113"/>
      <c r="AD81" s="773">
        <f>AD26</f>
        <v>198740</v>
      </c>
      <c r="AE81" s="774"/>
      <c r="AF81" s="234"/>
      <c r="AG81" s="40"/>
      <c r="AH81" s="6"/>
      <c r="AI81" s="6"/>
      <c r="AJ81" s="6"/>
      <c r="AK81" s="6"/>
      <c r="AL81" s="6"/>
      <c r="AM81" s="6"/>
      <c r="AN81" s="6"/>
    </row>
    <row r="82" spans="1:40"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40"/>
      <c r="AH82" s="6"/>
      <c r="AI82" s="6"/>
      <c r="AJ82" s="6"/>
      <c r="AK82" s="6"/>
      <c r="AL82" s="6"/>
      <c r="AM82" s="6"/>
      <c r="AN82" s="6"/>
    </row>
    <row r="83" spans="1:40"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21">AB29</f>
        <v>0</v>
      </c>
      <c r="AA83" s="776"/>
      <c r="AB83" s="775">
        <f t="shared" ref="AB83:AB91" si="22">AD29</f>
        <v>0</v>
      </c>
      <c r="AC83" s="776"/>
      <c r="AD83" s="798"/>
      <c r="AE83" s="1173"/>
      <c r="AF83" s="234"/>
      <c r="AG83" s="40"/>
      <c r="AH83" s="6"/>
      <c r="AI83" s="6"/>
      <c r="AJ83" s="6"/>
      <c r="AK83" s="6"/>
      <c r="AL83" s="6"/>
      <c r="AM83" s="6"/>
      <c r="AN83" s="6"/>
    </row>
    <row r="84" spans="1:40" ht="19.350000000000001" customHeight="1">
      <c r="A84" s="226">
        <v>1</v>
      </c>
      <c r="B84" s="775">
        <v>0</v>
      </c>
      <c r="C84" s="788"/>
      <c r="D84" s="776"/>
      <c r="E84" s="257"/>
      <c r="F84" s="793"/>
      <c r="G84" s="791"/>
      <c r="H84" s="791"/>
      <c r="I84" s="792"/>
      <c r="J84" s="810"/>
      <c r="K84" s="811"/>
      <c r="L84" s="811"/>
      <c r="M84" s="812"/>
      <c r="N84" s="793"/>
      <c r="O84" s="792"/>
      <c r="P84" s="793" t="str">
        <f>'Emp.-Detail'!N9</f>
        <v>YES</v>
      </c>
      <c r="Q84" s="859"/>
      <c r="R84" s="235"/>
      <c r="S84" s="782" t="s">
        <v>78</v>
      </c>
      <c r="T84" s="783"/>
      <c r="U84" s="783"/>
      <c r="V84" s="783"/>
      <c r="W84" s="783"/>
      <c r="X84" s="783"/>
      <c r="Y84" s="784"/>
      <c r="Z84" s="775">
        <f t="shared" si="21"/>
        <v>0</v>
      </c>
      <c r="AA84" s="776"/>
      <c r="AB84" s="775">
        <f t="shared" si="22"/>
        <v>0</v>
      </c>
      <c r="AC84" s="776"/>
      <c r="AD84" s="800"/>
      <c r="AE84" s="411"/>
      <c r="AF84" s="234"/>
      <c r="AG84" s="40"/>
      <c r="AH84" s="6"/>
      <c r="AI84" s="6"/>
      <c r="AJ84" s="6"/>
      <c r="AK84" s="6"/>
      <c r="AL84" s="6"/>
      <c r="AM84" s="6"/>
      <c r="AN84" s="6"/>
    </row>
    <row r="85" spans="1:40" ht="19.350000000000001" customHeight="1">
      <c r="A85" s="226">
        <v>2</v>
      </c>
      <c r="B85" s="775">
        <v>0</v>
      </c>
      <c r="C85" s="788"/>
      <c r="D85" s="776"/>
      <c r="E85" s="257"/>
      <c r="F85" s="793"/>
      <c r="G85" s="791"/>
      <c r="H85" s="791"/>
      <c r="I85" s="792"/>
      <c r="J85" s="810"/>
      <c r="K85" s="811"/>
      <c r="L85" s="811"/>
      <c r="M85" s="812"/>
      <c r="N85" s="793"/>
      <c r="O85" s="792"/>
      <c r="P85" s="793" t="str">
        <f>'Emp.-Detail'!N9</f>
        <v>YES</v>
      </c>
      <c r="Q85" s="859"/>
      <c r="R85" s="235"/>
      <c r="S85" s="782" t="s">
        <v>79</v>
      </c>
      <c r="T85" s="783"/>
      <c r="U85" s="783"/>
      <c r="V85" s="783"/>
      <c r="W85" s="783"/>
      <c r="X85" s="783"/>
      <c r="Y85" s="784"/>
      <c r="Z85" s="775">
        <f t="shared" si="21"/>
        <v>0</v>
      </c>
      <c r="AA85" s="776"/>
      <c r="AB85" s="775">
        <f t="shared" si="22"/>
        <v>0</v>
      </c>
      <c r="AC85" s="776"/>
      <c r="AD85" s="800"/>
      <c r="AE85" s="411"/>
      <c r="AF85" s="234"/>
      <c r="AG85" s="40"/>
      <c r="AH85" s="6"/>
      <c r="AI85" s="6"/>
      <c r="AJ85" s="6"/>
      <c r="AK85" s="6"/>
      <c r="AL85" s="6"/>
      <c r="AM85" s="6"/>
      <c r="AN85" s="6"/>
    </row>
    <row r="86" spans="1:40" ht="19.350000000000001" customHeight="1">
      <c r="A86" s="226">
        <v>3</v>
      </c>
      <c r="B86" s="775">
        <v>0</v>
      </c>
      <c r="C86" s="788"/>
      <c r="D86" s="776"/>
      <c r="E86" s="257"/>
      <c r="F86" s="793"/>
      <c r="G86" s="791"/>
      <c r="H86" s="791"/>
      <c r="I86" s="792"/>
      <c r="J86" s="810"/>
      <c r="K86" s="811"/>
      <c r="L86" s="811"/>
      <c r="M86" s="812"/>
      <c r="N86" s="793"/>
      <c r="O86" s="792"/>
      <c r="P86" s="793" t="str">
        <f>'Emp.-Detail'!N9</f>
        <v>YES</v>
      </c>
      <c r="Q86" s="859"/>
      <c r="R86" s="235"/>
      <c r="S86" s="782" t="s">
        <v>80</v>
      </c>
      <c r="T86" s="783"/>
      <c r="U86" s="783"/>
      <c r="V86" s="783"/>
      <c r="W86" s="783"/>
      <c r="X86" s="783"/>
      <c r="Y86" s="784"/>
      <c r="Z86" s="775">
        <f t="shared" si="21"/>
        <v>0</v>
      </c>
      <c r="AA86" s="776"/>
      <c r="AB86" s="775">
        <f t="shared" si="22"/>
        <v>0</v>
      </c>
      <c r="AC86" s="776"/>
      <c r="AD86" s="800"/>
      <c r="AE86" s="411"/>
      <c r="AF86" s="234"/>
      <c r="AG86" s="40"/>
      <c r="AH86" s="6"/>
      <c r="AI86" s="6"/>
      <c r="AJ86" s="6"/>
      <c r="AK86" s="6"/>
      <c r="AL86" s="6"/>
      <c r="AM86" s="6"/>
      <c r="AN86" s="6"/>
    </row>
    <row r="87" spans="1:40" ht="19.350000000000001" customHeight="1">
      <c r="A87" s="226">
        <v>4</v>
      </c>
      <c r="B87" s="775">
        <f>'Emp.-Detail'!J9</f>
        <v>0</v>
      </c>
      <c r="C87" s="788"/>
      <c r="D87" s="776"/>
      <c r="E87" s="257"/>
      <c r="F87" s="793" t="str">
        <f>'Emp.-Detail'!K9</f>
        <v>0</v>
      </c>
      <c r="G87" s="791"/>
      <c r="H87" s="791"/>
      <c r="I87" s="792"/>
      <c r="J87" s="810" t="str">
        <f>'Emp.-Detail'!L9</f>
        <v>00/00/0000</v>
      </c>
      <c r="K87" s="811"/>
      <c r="L87" s="811"/>
      <c r="M87" s="812"/>
      <c r="N87" s="793" t="str">
        <f>'Emp.-Detail'!M9</f>
        <v>00</v>
      </c>
      <c r="O87" s="792"/>
      <c r="P87" s="793" t="str">
        <f>'Emp.-Detail'!N9</f>
        <v>YES</v>
      </c>
      <c r="Q87" s="859"/>
      <c r="R87" s="235"/>
      <c r="S87" s="782" t="s">
        <v>105</v>
      </c>
      <c r="T87" s="783"/>
      <c r="U87" s="783"/>
      <c r="V87" s="783"/>
      <c r="W87" s="783"/>
      <c r="X87" s="783"/>
      <c r="Y87" s="784"/>
      <c r="Z87" s="775">
        <f t="shared" si="21"/>
        <v>0</v>
      </c>
      <c r="AA87" s="776"/>
      <c r="AB87" s="775">
        <f t="shared" si="22"/>
        <v>0</v>
      </c>
      <c r="AC87" s="776"/>
      <c r="AD87" s="800"/>
      <c r="AE87" s="411"/>
      <c r="AF87" s="234"/>
      <c r="AG87" s="40"/>
      <c r="AH87" s="6"/>
      <c r="AI87" s="6"/>
      <c r="AJ87" s="6"/>
      <c r="AK87" s="6"/>
      <c r="AL87" s="6"/>
      <c r="AM87" s="6"/>
      <c r="AN87" s="6"/>
    </row>
    <row r="88" spans="1:40"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21"/>
        <v>0</v>
      </c>
      <c r="AA88" s="776"/>
      <c r="AB88" s="775">
        <f t="shared" si="22"/>
        <v>0</v>
      </c>
      <c r="AC88" s="776"/>
      <c r="AD88" s="800"/>
      <c r="AE88" s="411"/>
      <c r="AF88" s="234"/>
      <c r="AG88" s="40"/>
      <c r="AH88" s="6"/>
      <c r="AI88" s="6"/>
      <c r="AJ88" s="6"/>
      <c r="AK88" s="6"/>
      <c r="AL88" s="6"/>
      <c r="AM88" s="6"/>
      <c r="AN88" s="6"/>
    </row>
    <row r="89" spans="1:40"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21"/>
        <v>0</v>
      </c>
      <c r="AA89" s="776"/>
      <c r="AB89" s="775">
        <f t="shared" si="22"/>
        <v>0</v>
      </c>
      <c r="AC89" s="776"/>
      <c r="AD89" s="800"/>
      <c r="AE89" s="411"/>
      <c r="AF89" s="234"/>
      <c r="AG89" s="40"/>
      <c r="AH89" s="6"/>
      <c r="AI89" s="6"/>
      <c r="AJ89" s="6"/>
      <c r="AK89" s="6"/>
      <c r="AL89" s="6"/>
      <c r="AM89" s="6"/>
      <c r="AN89" s="6"/>
    </row>
    <row r="90" spans="1:40"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21"/>
        <v>0</v>
      </c>
      <c r="AA90" s="776"/>
      <c r="AB90" s="775">
        <f t="shared" si="22"/>
        <v>0</v>
      </c>
      <c r="AC90" s="776"/>
      <c r="AD90" s="800"/>
      <c r="AE90" s="411"/>
      <c r="AF90" s="234"/>
      <c r="AG90" s="40"/>
      <c r="AH90" s="6"/>
      <c r="AI90" s="6"/>
      <c r="AJ90" s="6"/>
      <c r="AK90" s="6"/>
      <c r="AL90" s="6"/>
      <c r="AM90" s="6"/>
      <c r="AN90" s="6"/>
    </row>
    <row r="91" spans="1:40" s="1" customFormat="1" ht="19.350000000000001" customHeight="1">
      <c r="A91" s="87"/>
      <c r="B91" s="940" t="str">
        <f>'DDO '!L10</f>
        <v>PRINCIPAL</v>
      </c>
      <c r="C91" s="940"/>
      <c r="D91" s="818" t="s">
        <v>51</v>
      </c>
      <c r="E91" s="818"/>
      <c r="F91" s="818"/>
      <c r="G91" s="818"/>
      <c r="H91" s="818"/>
      <c r="I91" s="818"/>
      <c r="J91" s="818"/>
      <c r="K91" s="261"/>
      <c r="L91" s="928">
        <f>P73+B88</f>
        <v>18000</v>
      </c>
      <c r="M91" s="928"/>
      <c r="N91" s="928"/>
      <c r="O91" s="795" t="s">
        <v>283</v>
      </c>
      <c r="P91" s="795"/>
      <c r="Q91" s="873"/>
      <c r="R91" s="235"/>
      <c r="S91" s="782" t="s">
        <v>289</v>
      </c>
      <c r="T91" s="783"/>
      <c r="U91" s="783"/>
      <c r="V91" s="783"/>
      <c r="W91" s="783"/>
      <c r="X91" s="783"/>
      <c r="Y91" s="784"/>
      <c r="Z91" s="775">
        <f t="shared" si="21"/>
        <v>0</v>
      </c>
      <c r="AA91" s="776"/>
      <c r="AB91" s="775">
        <f t="shared" si="22"/>
        <v>0</v>
      </c>
      <c r="AC91" s="776"/>
      <c r="AD91" s="802"/>
      <c r="AE91" s="1174"/>
      <c r="AF91" s="234"/>
      <c r="AG91" s="40"/>
      <c r="AH91" s="6"/>
      <c r="AI91" s="6"/>
      <c r="AJ91" s="6"/>
      <c r="AK91" s="6"/>
      <c r="AL91" s="6"/>
      <c r="AM91" s="6"/>
      <c r="AN91" s="6"/>
    </row>
    <row r="92" spans="1:40"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EIGHTEEN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40"/>
      <c r="AH92" s="6"/>
      <c r="AI92" s="6"/>
      <c r="AJ92" s="6"/>
      <c r="AK92" s="6"/>
      <c r="AL92" s="6"/>
      <c r="AM92" s="6"/>
      <c r="AN92" s="6"/>
    </row>
    <row r="93" spans="1:40"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198740</v>
      </c>
      <c r="AE93" s="789"/>
      <c r="AF93" s="234"/>
      <c r="AG93" s="40"/>
      <c r="AH93" s="6"/>
      <c r="AI93" s="6"/>
      <c r="AJ93" s="6"/>
      <c r="AK93" s="6"/>
      <c r="AL93" s="6"/>
      <c r="AM93" s="6"/>
      <c r="AN93" s="6"/>
    </row>
    <row r="94" spans="1:40"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40"/>
      <c r="AH94" s="6"/>
      <c r="AI94" s="6"/>
      <c r="AJ94" s="6"/>
      <c r="AK94" s="6"/>
      <c r="AL94" s="6"/>
      <c r="AM94" s="6"/>
      <c r="AN94" s="6"/>
    </row>
    <row r="95" spans="1:40"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481880</v>
      </c>
      <c r="AE95" s="789"/>
      <c r="AF95" s="234"/>
      <c r="AG95" s="40"/>
      <c r="AH95" s="6"/>
      <c r="AI95" s="6"/>
      <c r="AJ95" s="6"/>
      <c r="AK95" s="6"/>
      <c r="AL95" s="6"/>
      <c r="AM95" s="6"/>
      <c r="AN95" s="6"/>
    </row>
    <row r="96" spans="1:40"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18188</v>
      </c>
      <c r="AE96" s="789"/>
      <c r="AF96" s="234"/>
      <c r="AG96" s="40"/>
      <c r="AH96" s="6"/>
      <c r="AI96" s="6"/>
      <c r="AJ96" s="6"/>
      <c r="AK96" s="6"/>
      <c r="AL96" s="6"/>
      <c r="AM96" s="6"/>
      <c r="AN96" s="6"/>
    </row>
    <row r="97" spans="1:40"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546</v>
      </c>
      <c r="AE97" s="789"/>
      <c r="AF97" s="234"/>
      <c r="AG97" s="40"/>
      <c r="AH97" s="6"/>
      <c r="AI97" s="6"/>
      <c r="AJ97" s="6"/>
      <c r="AK97" s="6"/>
      <c r="AL97" s="6"/>
      <c r="AM97" s="6"/>
      <c r="AN97" s="6"/>
    </row>
    <row r="98" spans="1:40"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18734</v>
      </c>
      <c r="AE98" s="789"/>
      <c r="AF98" s="234"/>
      <c r="AG98" s="40"/>
      <c r="AH98" s="6"/>
      <c r="AI98" s="6"/>
      <c r="AJ98" s="6"/>
      <c r="AK98" s="6"/>
      <c r="AL98" s="6"/>
      <c r="AM98" s="6"/>
      <c r="AN98" s="6"/>
    </row>
    <row r="99" spans="1:40"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40"/>
      <c r="AH99" s="6"/>
      <c r="AI99" s="6"/>
      <c r="AJ99" s="6"/>
      <c r="AK99" s="6"/>
      <c r="AL99" s="6"/>
      <c r="AM99" s="6"/>
      <c r="AN99" s="6"/>
    </row>
    <row r="100" spans="1:40"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18734</v>
      </c>
      <c r="AE100" s="789"/>
      <c r="AF100" s="234"/>
      <c r="AG100" s="40"/>
      <c r="AH100" s="6"/>
      <c r="AI100" s="6"/>
      <c r="AJ100" s="6"/>
      <c r="AK100" s="6"/>
      <c r="AL100" s="6"/>
      <c r="AM100" s="6"/>
      <c r="AN100" s="6"/>
    </row>
    <row r="101" spans="1:40" ht="19.350000000000001" customHeight="1">
      <c r="A101" s="820" t="s">
        <v>58</v>
      </c>
      <c r="B101" s="821"/>
      <c r="C101" s="821"/>
      <c r="D101" s="821"/>
      <c r="E101" s="821"/>
      <c r="F101" s="821"/>
      <c r="G101" s="821"/>
      <c r="H101" s="821"/>
      <c r="I101" s="821"/>
      <c r="J101" s="821"/>
      <c r="K101" s="821"/>
      <c r="L101" s="822"/>
      <c r="M101" s="902">
        <f>AD5</f>
        <v>738977</v>
      </c>
      <c r="N101" s="902"/>
      <c r="O101" s="800"/>
      <c r="P101" s="801"/>
      <c r="Q101" s="806"/>
      <c r="R101" s="235"/>
      <c r="S101" s="777" t="s">
        <v>48</v>
      </c>
      <c r="T101" s="778"/>
      <c r="U101" s="778"/>
      <c r="V101" s="778"/>
      <c r="W101" s="778"/>
      <c r="X101" s="778"/>
      <c r="Y101" s="778"/>
      <c r="Z101" s="778"/>
      <c r="AA101" s="778"/>
      <c r="AB101" s="778"/>
      <c r="AC101" s="778"/>
      <c r="AD101" s="778"/>
      <c r="AE101" s="779"/>
      <c r="AF101" s="234"/>
      <c r="AG101" s="40"/>
      <c r="AH101" s="6"/>
      <c r="AI101" s="6"/>
      <c r="AJ101" s="6"/>
      <c r="AK101" s="6"/>
      <c r="AL101" s="6"/>
      <c r="AM101" s="6"/>
      <c r="AN101" s="6"/>
    </row>
    <row r="102" spans="1:40"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40"/>
      <c r="AH102" s="6"/>
      <c r="AI102" s="6"/>
      <c r="AJ102" s="6"/>
      <c r="AK102" s="6"/>
      <c r="AL102" s="6"/>
      <c r="AM102" s="6"/>
      <c r="AN102" s="6"/>
    </row>
    <row r="103" spans="1:40"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40"/>
      <c r="AH103" s="6"/>
      <c r="AI103" s="6"/>
      <c r="AJ103" s="6"/>
      <c r="AK103" s="6"/>
      <c r="AL103" s="6"/>
      <c r="AM103" s="6"/>
      <c r="AN103" s="6"/>
    </row>
    <row r="104" spans="1:40" ht="19.350000000000001" customHeight="1">
      <c r="A104" s="1093" t="s">
        <v>248</v>
      </c>
      <c r="B104" s="1094"/>
      <c r="C104" s="1094"/>
      <c r="D104" s="1094"/>
      <c r="E104" s="1094"/>
      <c r="F104" s="1094"/>
      <c r="G104" s="1094"/>
      <c r="H104" s="1094"/>
      <c r="I104" s="1094"/>
      <c r="J104" s="1094"/>
      <c r="K104" s="1094"/>
      <c r="L104" s="1095"/>
      <c r="M104" s="905"/>
      <c r="N104" s="906"/>
      <c r="O104" s="775">
        <f>SUM(M101:M103)</f>
        <v>738977</v>
      </c>
      <c r="P104" s="776"/>
      <c r="Q104" s="258">
        <f>O104</f>
        <v>738977</v>
      </c>
      <c r="R104" s="235"/>
      <c r="S104" s="254"/>
      <c r="T104" s="229" t="str">
        <f>'DDO '!L10</f>
        <v>PRINCIPAL</v>
      </c>
      <c r="U104" s="229"/>
      <c r="V104" s="780" t="s">
        <v>51</v>
      </c>
      <c r="W104" s="780"/>
      <c r="X104" s="780"/>
      <c r="Y104" s="780"/>
      <c r="Z104" s="770">
        <f>AD100</f>
        <v>18734</v>
      </c>
      <c r="AA104" s="770"/>
      <c r="AB104" s="770"/>
      <c r="AC104" s="785" t="s">
        <v>258</v>
      </c>
      <c r="AD104" s="785"/>
      <c r="AE104" s="786"/>
      <c r="AF104" s="234"/>
      <c r="AG104" s="40"/>
      <c r="AH104" s="6"/>
      <c r="AI104" s="6"/>
      <c r="AJ104" s="6"/>
      <c r="AK104" s="6"/>
      <c r="AL104" s="6"/>
      <c r="AM104" s="6"/>
      <c r="AN104" s="6"/>
    </row>
    <row r="105" spans="1:40"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EIGHTEEN  Thousand  SEVEN  Hundred  THIRTY  FOUR  Only)</v>
      </c>
      <c r="U105" s="1125"/>
      <c r="V105" s="1125"/>
      <c r="W105" s="1125"/>
      <c r="X105" s="1125"/>
      <c r="Y105" s="1125"/>
      <c r="Z105" s="1125"/>
      <c r="AA105" s="780" t="s">
        <v>310</v>
      </c>
      <c r="AB105" s="780"/>
      <c r="AC105" s="780"/>
      <c r="AD105" s="780"/>
      <c r="AE105" s="781"/>
      <c r="AF105" s="234"/>
      <c r="AG105" s="40"/>
      <c r="AH105" s="6"/>
      <c r="AI105" s="6"/>
      <c r="AJ105" s="6"/>
      <c r="AK105" s="6"/>
      <c r="AL105" s="6"/>
      <c r="AM105" s="6"/>
      <c r="AN105" s="6"/>
    </row>
    <row r="106" spans="1:40"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40"/>
      <c r="AH106" s="6"/>
      <c r="AI106" s="6"/>
      <c r="AJ106" s="6"/>
      <c r="AK106" s="6"/>
      <c r="AL106" s="6"/>
      <c r="AM106" s="6"/>
      <c r="AN106" s="6"/>
    </row>
    <row r="107" spans="1:40"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40"/>
      <c r="AH107" s="6"/>
      <c r="AI107" s="6"/>
      <c r="AJ107" s="6"/>
      <c r="AK107" s="6"/>
      <c r="AL107" s="6"/>
      <c r="AM107" s="6"/>
      <c r="AN107" s="6"/>
    </row>
    <row r="108" spans="1:40"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40"/>
      <c r="AH108" s="6"/>
      <c r="AI108" s="6"/>
      <c r="AJ108" s="6"/>
      <c r="AK108" s="6"/>
      <c r="AL108" s="6"/>
      <c r="AM108" s="6"/>
      <c r="AN108" s="6"/>
    </row>
    <row r="109" spans="1:40" ht="19.350000000000001" customHeight="1">
      <c r="A109" s="896" t="s">
        <v>61</v>
      </c>
      <c r="B109" s="897"/>
      <c r="C109" s="897"/>
      <c r="D109" s="897"/>
      <c r="E109" s="897"/>
      <c r="F109" s="897"/>
      <c r="G109" s="897"/>
      <c r="H109" s="897"/>
      <c r="I109" s="897"/>
      <c r="J109" s="897"/>
      <c r="K109" s="897"/>
      <c r="L109" s="897"/>
      <c r="M109" s="897"/>
      <c r="N109" s="898"/>
      <c r="O109" s="775">
        <f>O104-M108</f>
        <v>738977</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40"/>
      <c r="AH109" s="6"/>
      <c r="AI109" s="6"/>
      <c r="AJ109" s="6"/>
      <c r="AK109" s="6"/>
      <c r="AL109" s="6"/>
      <c r="AM109" s="6"/>
      <c r="AN109" s="6"/>
    </row>
    <row r="110" spans="1:40"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40"/>
      <c r="AH110" s="6"/>
      <c r="AI110" s="6"/>
      <c r="AJ110" s="6"/>
      <c r="AK110" s="6"/>
      <c r="AL110" s="6"/>
      <c r="AM110" s="6"/>
      <c r="AN110" s="6"/>
    </row>
    <row r="111" spans="1:40"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738977</v>
      </c>
      <c r="P111" s="847"/>
      <c r="Q111" s="806"/>
      <c r="R111" s="235"/>
      <c r="S111" s="249"/>
      <c r="T111" s="137"/>
      <c r="U111" s="137"/>
      <c r="V111" s="137"/>
      <c r="W111" s="137"/>
      <c r="X111" s="137"/>
      <c r="Y111" s="137"/>
      <c r="Z111" s="771" t="s">
        <v>53</v>
      </c>
      <c r="AA111" s="771"/>
      <c r="AB111" s="771"/>
      <c r="AC111" s="771"/>
      <c r="AD111" s="771"/>
      <c r="AE111" s="772"/>
      <c r="AF111" s="250"/>
      <c r="AG111" s="40"/>
      <c r="AH111" s="6"/>
      <c r="AI111" s="6"/>
      <c r="AJ111" s="6"/>
      <c r="AK111" s="6"/>
      <c r="AL111" s="6"/>
      <c r="AM111" s="6"/>
      <c r="AN111" s="6"/>
    </row>
    <row r="112" spans="1:40"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738977</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40"/>
      <c r="AH112" s="6"/>
      <c r="AI112" s="6"/>
      <c r="AJ112" s="6"/>
      <c r="AK112" s="6"/>
      <c r="AL112" s="6"/>
      <c r="AM112" s="6"/>
      <c r="AN112" s="6"/>
    </row>
    <row r="113" spans="1:40" ht="6.75" customHeight="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G113" s="40"/>
      <c r="AH113" s="6"/>
      <c r="AI113" s="6"/>
      <c r="AJ113" s="6"/>
      <c r="AK113" s="6"/>
      <c r="AL113" s="6"/>
      <c r="AM113" s="6"/>
      <c r="AN113" s="6"/>
    </row>
    <row r="114" spans="1:40" s="6" customFormat="1" ht="18.95" hidden="1" customHeight="1">
      <c r="A114" s="50"/>
      <c r="B114" s="50"/>
      <c r="C114" s="50"/>
      <c r="D114" s="50"/>
      <c r="E114" s="50"/>
      <c r="F114" s="50"/>
      <c r="G114" s="50"/>
      <c r="H114" s="50"/>
      <c r="I114" s="50"/>
      <c r="J114" s="50"/>
      <c r="K114" s="50"/>
      <c r="L114" s="50"/>
      <c r="M114" s="50"/>
      <c r="N114" s="50"/>
      <c r="O114" s="50"/>
      <c r="P114" s="50"/>
      <c r="Q114" s="50"/>
      <c r="R114" s="235"/>
      <c r="S114" s="50"/>
      <c r="T114" s="70"/>
      <c r="U114" s="50"/>
      <c r="V114" s="50"/>
      <c r="W114" s="50"/>
      <c r="X114" s="50"/>
      <c r="Y114" s="50"/>
      <c r="Z114" s="50"/>
      <c r="AA114" s="50"/>
      <c r="AB114" s="50"/>
      <c r="AC114" s="50"/>
      <c r="AD114" s="50"/>
      <c r="AE114" s="50"/>
      <c r="AF114" s="50"/>
    </row>
    <row r="115" spans="1:40" s="6" customFormat="1" ht="18.95" hidden="1" customHeight="1">
      <c r="A115" s="50"/>
      <c r="B115" s="50"/>
      <c r="C115" s="50"/>
      <c r="D115" s="50"/>
      <c r="E115" s="50"/>
      <c r="F115" s="50"/>
      <c r="G115" s="50"/>
      <c r="H115" s="50"/>
      <c r="I115" s="50"/>
      <c r="J115" s="50"/>
      <c r="K115" s="50"/>
      <c r="L115" s="50"/>
      <c r="M115" s="50"/>
      <c r="N115" s="50"/>
      <c r="O115" s="50"/>
      <c r="P115" s="50"/>
      <c r="Q115" s="50"/>
      <c r="R115" s="235"/>
      <c r="S115" s="50"/>
      <c r="T115" s="50"/>
      <c r="U115" s="50"/>
      <c r="V115" s="70"/>
      <c r="W115" s="50"/>
      <c r="X115" s="50"/>
      <c r="Y115" s="50"/>
      <c r="Z115" s="50"/>
      <c r="AA115" s="50"/>
      <c r="AB115" s="50"/>
      <c r="AC115" s="50"/>
      <c r="AD115" s="50"/>
      <c r="AE115" s="50"/>
      <c r="AF115" s="50"/>
    </row>
    <row r="116" spans="1:40" ht="20.100000000000001" hidden="1" customHeight="1">
      <c r="M116" s="88"/>
      <c r="N116" s="88"/>
      <c r="O116" s="88"/>
      <c r="P116" s="88"/>
      <c r="Q116" s="230"/>
      <c r="R116" s="235"/>
      <c r="S116" s="235"/>
      <c r="T116" s="235"/>
      <c r="U116" s="235"/>
      <c r="V116" s="235"/>
      <c r="W116" s="235"/>
      <c r="X116" s="209"/>
      <c r="Y116" s="88"/>
      <c r="Z116" s="88"/>
      <c r="AA116" s="235"/>
      <c r="AB116" s="235"/>
      <c r="AC116" s="235"/>
      <c r="AD116" s="235"/>
      <c r="AE116" s="235"/>
      <c r="AH116" s="6"/>
      <c r="AI116" s="6"/>
      <c r="AJ116" s="6"/>
      <c r="AK116" s="6"/>
      <c r="AL116" s="6"/>
      <c r="AM116" s="6"/>
      <c r="AN116" s="6"/>
    </row>
    <row r="117" spans="1:40" ht="20.100000000000001" hidden="1" customHeight="1">
      <c r="O117" s="70"/>
      <c r="R117" s="235"/>
      <c r="X117" s="88"/>
      <c r="Y117" s="88"/>
      <c r="Z117" s="88"/>
      <c r="AA117" s="88"/>
      <c r="AB117" s="88"/>
      <c r="AC117" s="88"/>
      <c r="AD117" s="88"/>
      <c r="AE117" s="88"/>
      <c r="AF117" s="252"/>
      <c r="AG117" s="2"/>
      <c r="AH117" s="6"/>
      <c r="AI117" s="6"/>
      <c r="AJ117" s="6"/>
      <c r="AK117" s="6"/>
      <c r="AL117" s="6"/>
      <c r="AM117" s="6"/>
      <c r="AN117" s="6"/>
    </row>
    <row r="118" spans="1:40" ht="20.100000000000001" hidden="1" customHeight="1">
      <c r="R118" s="235"/>
      <c r="T118" s="1092"/>
      <c r="U118" s="1092"/>
      <c r="V118" s="1092"/>
      <c r="W118" s="1092"/>
      <c r="X118" s="1092"/>
      <c r="Y118" s="1092"/>
      <c r="Z118" s="253"/>
      <c r="AA118" s="252"/>
      <c r="AB118" s="252"/>
      <c r="AC118" s="252"/>
      <c r="AD118" s="252"/>
      <c r="AE118" s="252"/>
      <c r="AG118" s="2"/>
      <c r="AH118" s="6"/>
      <c r="AI118" s="6"/>
      <c r="AJ118" s="6"/>
      <c r="AK118" s="6"/>
      <c r="AL118" s="6"/>
      <c r="AM118" s="6"/>
      <c r="AN118" s="6"/>
    </row>
    <row r="119" spans="1:40" ht="15" hidden="1" customHeight="1">
      <c r="P119" s="70"/>
      <c r="R119" s="235"/>
      <c r="S119" s="235"/>
      <c r="T119" s="235"/>
      <c r="U119" s="235"/>
      <c r="V119" s="88"/>
      <c r="W119" s="235"/>
      <c r="X119" s="88"/>
      <c r="Y119" s="88"/>
      <c r="Z119" s="137"/>
      <c r="AA119" s="252"/>
      <c r="AB119" s="137"/>
      <c r="AC119" s="137"/>
      <c r="AD119" s="137"/>
      <c r="AE119" s="137"/>
      <c r="AG119" s="2"/>
      <c r="AH119" s="6"/>
      <c r="AI119" s="6"/>
      <c r="AJ119" s="6"/>
      <c r="AK119" s="6"/>
      <c r="AL119" s="6"/>
      <c r="AM119" s="6"/>
      <c r="AN119" s="6"/>
    </row>
    <row r="120" spans="1:40" ht="15" hidden="1" customHeight="1">
      <c r="O120" s="70"/>
      <c r="R120" s="235"/>
      <c r="S120" s="88"/>
      <c r="T120" s="88"/>
      <c r="U120" s="88"/>
      <c r="V120" s="88"/>
      <c r="W120" s="88"/>
      <c r="X120" s="88"/>
      <c r="Y120" s="88"/>
      <c r="Z120" s="88"/>
      <c r="AA120" s="88"/>
      <c r="AB120" s="88"/>
      <c r="AC120" s="88"/>
      <c r="AD120" s="88"/>
      <c r="AE120" s="88"/>
      <c r="AF120" s="70"/>
      <c r="AG120" s="2"/>
      <c r="AH120" s="6"/>
      <c r="AI120" s="6"/>
      <c r="AJ120" s="6"/>
      <c r="AK120" s="6"/>
      <c r="AL120" s="6"/>
      <c r="AM120" s="6"/>
      <c r="AN120" s="6"/>
    </row>
    <row r="121" spans="1:40" ht="15" hidden="1" customHeight="1">
      <c r="M121" s="70"/>
      <c r="N121" s="70"/>
      <c r="R121" s="235"/>
      <c r="S121" s="88"/>
      <c r="T121" s="88"/>
      <c r="U121" s="88"/>
      <c r="V121" s="88"/>
      <c r="W121" s="88"/>
      <c r="X121" s="88"/>
      <c r="Y121" s="88"/>
      <c r="Z121" s="88"/>
      <c r="AA121" s="88"/>
      <c r="AB121" s="88"/>
      <c r="AC121" s="88"/>
      <c r="AD121" s="88"/>
      <c r="AE121" s="88"/>
      <c r="AF121" s="70"/>
      <c r="AH121" s="6"/>
      <c r="AI121" s="6"/>
      <c r="AJ121" s="6"/>
      <c r="AK121" s="6"/>
      <c r="AL121" s="6"/>
      <c r="AM121" s="6"/>
      <c r="AN121" s="6"/>
    </row>
    <row r="122" spans="1:40" ht="15" hidden="1" customHeight="1">
      <c r="M122" s="70"/>
      <c r="R122" s="235"/>
      <c r="S122" s="88"/>
      <c r="T122" s="88"/>
      <c r="U122" s="88"/>
      <c r="V122" s="88"/>
      <c r="W122" s="88"/>
      <c r="X122" s="88"/>
      <c r="Y122" s="88"/>
      <c r="Z122" s="88"/>
      <c r="AA122" s="88"/>
      <c r="AB122" s="88"/>
      <c r="AC122" s="88"/>
      <c r="AD122" s="88"/>
      <c r="AE122" s="88"/>
      <c r="AG122" s="2"/>
      <c r="AH122" s="6"/>
      <c r="AI122" s="6"/>
      <c r="AJ122" s="6"/>
      <c r="AK122" s="6"/>
      <c r="AL122" s="6"/>
      <c r="AM122" s="6"/>
      <c r="AN122" s="6"/>
    </row>
    <row r="123" spans="1:40" ht="15" hidden="1" customHeight="1">
      <c r="Y123" s="70"/>
      <c r="Z123" s="70"/>
      <c r="AA123" s="70"/>
      <c r="AE123" s="70"/>
      <c r="AH123" s="6"/>
      <c r="AI123" s="6"/>
      <c r="AJ123" s="6"/>
      <c r="AK123" s="6"/>
      <c r="AL123" s="6"/>
      <c r="AM123" s="6"/>
      <c r="AN123" s="6"/>
    </row>
    <row r="124" spans="1:40" ht="15" hidden="1" customHeight="1">
      <c r="AH124" s="6"/>
      <c r="AI124" s="6"/>
      <c r="AJ124" s="6"/>
      <c r="AK124" s="6"/>
      <c r="AL124" s="6"/>
      <c r="AM124" s="6"/>
      <c r="AN124" s="6"/>
    </row>
    <row r="125" spans="1:40" ht="15" hidden="1" customHeight="1">
      <c r="AH125" s="6"/>
      <c r="AI125" s="6"/>
      <c r="AJ125" s="6"/>
      <c r="AK125" s="6"/>
      <c r="AL125" s="6"/>
      <c r="AM125" s="6"/>
      <c r="AN125" s="6"/>
    </row>
    <row r="126" spans="1:40" ht="15" hidden="1" customHeight="1">
      <c r="AH126" s="6"/>
      <c r="AI126" s="6"/>
      <c r="AJ126" s="6"/>
      <c r="AK126" s="6"/>
      <c r="AL126" s="6"/>
      <c r="AM126" s="6"/>
      <c r="AN126" s="6"/>
    </row>
    <row r="127" spans="1:40" ht="15" hidden="1" customHeight="1">
      <c r="AH127" s="6"/>
      <c r="AI127" s="6"/>
      <c r="AJ127" s="6"/>
      <c r="AK127" s="6"/>
      <c r="AL127" s="6"/>
      <c r="AM127" s="6"/>
      <c r="AN127" s="6"/>
    </row>
    <row r="128" spans="1:40" ht="15" hidden="1" customHeight="1">
      <c r="T128" s="70"/>
      <c r="V128" s="70"/>
      <c r="AH128" s="6"/>
      <c r="AI128" s="6"/>
      <c r="AJ128" s="6"/>
      <c r="AK128" s="6"/>
      <c r="AL128" s="6"/>
      <c r="AM128" s="6"/>
      <c r="AN128" s="6"/>
    </row>
    <row r="129" spans="34:40" ht="15" hidden="1" customHeight="1">
      <c r="AH129" s="6"/>
      <c r="AI129" s="6"/>
      <c r="AJ129" s="6"/>
      <c r="AK129" s="6"/>
      <c r="AL129" s="6"/>
      <c r="AM129" s="6"/>
      <c r="AN129" s="6"/>
    </row>
    <row r="130" spans="34:40" ht="15" hidden="1" customHeight="1">
      <c r="AH130" s="6"/>
      <c r="AI130" s="6"/>
      <c r="AJ130" s="6"/>
      <c r="AK130" s="6"/>
      <c r="AL130" s="6"/>
      <c r="AM130" s="6"/>
      <c r="AN130" s="6"/>
    </row>
    <row r="131" spans="34:40" ht="15" hidden="1" customHeight="1">
      <c r="AH131" s="6"/>
      <c r="AI131" s="6"/>
      <c r="AJ131" s="6"/>
      <c r="AK131" s="6"/>
      <c r="AL131" s="6"/>
      <c r="AM131" s="6"/>
      <c r="AN131" s="6"/>
    </row>
    <row r="132" spans="34:40" ht="15" hidden="1" customHeight="1">
      <c r="AH132" s="6"/>
      <c r="AI132" s="6"/>
      <c r="AJ132" s="6"/>
      <c r="AK132" s="6"/>
      <c r="AL132" s="6"/>
      <c r="AM132" s="6"/>
      <c r="AN132" s="6"/>
    </row>
    <row r="133" spans="34:40" ht="15" hidden="1" customHeight="1">
      <c r="AH133" s="6"/>
      <c r="AI133" s="6"/>
      <c r="AJ133" s="6"/>
      <c r="AK133" s="6"/>
      <c r="AL133" s="6"/>
      <c r="AM133" s="6"/>
      <c r="AN133" s="6"/>
    </row>
    <row r="134" spans="34:40" ht="15" hidden="1" customHeight="1">
      <c r="AH134" s="6"/>
      <c r="AI134" s="6"/>
      <c r="AJ134" s="6"/>
      <c r="AK134" s="6"/>
      <c r="AL134" s="6"/>
      <c r="AM134" s="6"/>
      <c r="AN134" s="6"/>
    </row>
    <row r="135" spans="34:40" ht="15" hidden="1" customHeight="1">
      <c r="AH135" s="6"/>
      <c r="AI135" s="6"/>
      <c r="AJ135" s="6"/>
      <c r="AK135" s="6"/>
      <c r="AL135" s="6"/>
      <c r="AM135" s="6"/>
      <c r="AN135" s="6"/>
    </row>
    <row r="136" spans="34:40" ht="15" hidden="1" customHeight="1">
      <c r="AH136" s="6"/>
      <c r="AI136" s="6"/>
      <c r="AJ136" s="6"/>
      <c r="AK136" s="6"/>
      <c r="AL136" s="6"/>
      <c r="AM136" s="6"/>
      <c r="AN136" s="6"/>
    </row>
    <row r="137" spans="34:40" ht="15" hidden="1" customHeight="1">
      <c r="AH137" s="6"/>
      <c r="AI137" s="6"/>
      <c r="AJ137" s="6"/>
      <c r="AK137" s="6"/>
      <c r="AL137" s="6"/>
      <c r="AM137" s="6"/>
      <c r="AN137" s="6"/>
    </row>
    <row r="138" spans="34:40" ht="15" hidden="1" customHeight="1">
      <c r="AH138" s="6"/>
      <c r="AI138" s="6"/>
      <c r="AJ138" s="6"/>
      <c r="AK138" s="6"/>
      <c r="AL138" s="6"/>
      <c r="AM138" s="6"/>
      <c r="AN138" s="6"/>
    </row>
    <row r="139" spans="34:40" ht="15" hidden="1" customHeight="1">
      <c r="AH139" s="6"/>
      <c r="AI139" s="6"/>
      <c r="AJ139" s="6"/>
      <c r="AK139" s="6"/>
      <c r="AL139" s="6"/>
      <c r="AM139" s="6"/>
      <c r="AN139" s="6"/>
    </row>
    <row r="140" spans="34:40" ht="15" hidden="1" customHeight="1">
      <c r="AH140" s="6"/>
      <c r="AI140" s="6"/>
      <c r="AJ140" s="6"/>
      <c r="AK140" s="6"/>
      <c r="AL140" s="6"/>
      <c r="AM140" s="6"/>
      <c r="AN140" s="6"/>
    </row>
    <row r="141" spans="34:40" ht="15" hidden="1" customHeight="1">
      <c r="AH141" s="6"/>
      <c r="AI141" s="6"/>
      <c r="AJ141" s="6"/>
      <c r="AK141" s="6"/>
      <c r="AL141" s="6"/>
      <c r="AM141" s="6"/>
      <c r="AN141" s="6"/>
    </row>
    <row r="142" spans="34:40" ht="15" hidden="1" customHeight="1">
      <c r="AH142" s="6"/>
      <c r="AI142" s="6"/>
      <c r="AJ142" s="6"/>
      <c r="AK142" s="6"/>
      <c r="AL142" s="6"/>
      <c r="AM142" s="6"/>
      <c r="AN142" s="6"/>
    </row>
    <row r="143" spans="34:40" ht="15" hidden="1" customHeight="1">
      <c r="AH143" s="6"/>
      <c r="AI143" s="6"/>
      <c r="AJ143" s="6"/>
      <c r="AK143" s="6"/>
      <c r="AL143" s="6"/>
      <c r="AM143" s="6"/>
      <c r="AN143" s="6"/>
    </row>
    <row r="144" spans="34:40" ht="15" hidden="1" customHeight="1">
      <c r="AH144" s="6"/>
      <c r="AI144" s="6"/>
      <c r="AJ144" s="6"/>
      <c r="AK144" s="6"/>
      <c r="AL144" s="6"/>
      <c r="AM144" s="6"/>
      <c r="AN144" s="6"/>
    </row>
    <row r="145" spans="34:40" ht="15" hidden="1" customHeight="1">
      <c r="AH145" s="6"/>
      <c r="AI145" s="6"/>
      <c r="AJ145" s="6"/>
      <c r="AK145" s="6"/>
      <c r="AL145" s="6"/>
      <c r="AM145" s="6"/>
      <c r="AN145" s="6"/>
    </row>
    <row r="146" spans="34:40" ht="15" hidden="1" customHeight="1"/>
    <row r="147" spans="34:40" ht="15" hidden="1" customHeight="1"/>
    <row r="148" spans="34:40" ht="15" hidden="1" customHeight="1"/>
    <row r="149" spans="34:40" ht="15" hidden="1" customHeight="1"/>
    <row r="150" spans="34:40" ht="15" hidden="1" customHeight="1"/>
  </sheetData>
  <sheetProtection password="CC21" sheet="1" objects="1" scenarios="1" selectLockedCells="1"/>
  <mergeCells count="589">
    <mergeCell ref="AD95:AE95"/>
    <mergeCell ref="AD96:AE96"/>
    <mergeCell ref="AB91:AC91"/>
    <mergeCell ref="AD83:AE91"/>
    <mergeCell ref="Z83:AA83"/>
    <mergeCell ref="Z76:AA76"/>
    <mergeCell ref="AB67:AC80"/>
    <mergeCell ref="S75:Y75"/>
    <mergeCell ref="A1:D1"/>
    <mergeCell ref="AD97:AE97"/>
    <mergeCell ref="AD98:AE98"/>
    <mergeCell ref="AD99:AE99"/>
    <mergeCell ref="AD100:AE100"/>
    <mergeCell ref="S93:AC93"/>
    <mergeCell ref="S94:AE94"/>
    <mergeCell ref="S100:AC100"/>
    <mergeCell ref="S99:AC99"/>
    <mergeCell ref="S98:AC98"/>
    <mergeCell ref="S97:AC97"/>
    <mergeCell ref="S96:AC96"/>
    <mergeCell ref="S95:AC95"/>
    <mergeCell ref="AD92:AE92"/>
    <mergeCell ref="AD93:AE93"/>
    <mergeCell ref="S91:Y91"/>
    <mergeCell ref="S90:Y90"/>
    <mergeCell ref="S89:Y89"/>
    <mergeCell ref="S88:Y88"/>
    <mergeCell ref="S87:Y87"/>
    <mergeCell ref="AB55:AE55"/>
    <mergeCell ref="AB54:AE54"/>
    <mergeCell ref="AB58:AC58"/>
    <mergeCell ref="AD58:AE58"/>
    <mergeCell ref="S57:S58"/>
    <mergeCell ref="AB57:AC57"/>
    <mergeCell ref="AD57:AE57"/>
    <mergeCell ref="T58:U58"/>
    <mergeCell ref="V57:X57"/>
    <mergeCell ref="V58:X58"/>
    <mergeCell ref="T57:U57"/>
    <mergeCell ref="S85:Y85"/>
    <mergeCell ref="S84:Y84"/>
    <mergeCell ref="S83:Y83"/>
    <mergeCell ref="S76:Y76"/>
    <mergeCell ref="S77:Y77"/>
    <mergeCell ref="S78:Y78"/>
    <mergeCell ref="S79:Y79"/>
    <mergeCell ref="S80:Y80"/>
    <mergeCell ref="S81:Y81"/>
    <mergeCell ref="S67:Y67"/>
    <mergeCell ref="S68:Y68"/>
    <mergeCell ref="S69:Y69"/>
    <mergeCell ref="S70:Y70"/>
    <mergeCell ref="S71:Y71"/>
    <mergeCell ref="S60:AA60"/>
    <mergeCell ref="S61:AA61"/>
    <mergeCell ref="S64:AC64"/>
    <mergeCell ref="S65:AA65"/>
    <mergeCell ref="Z80:AA80"/>
    <mergeCell ref="Z81:AA81"/>
    <mergeCell ref="AB81:AC81"/>
    <mergeCell ref="S73:Y73"/>
    <mergeCell ref="S74:Y74"/>
    <mergeCell ref="A2:D2"/>
    <mergeCell ref="F2:Q2"/>
    <mergeCell ref="J3:L3"/>
    <mergeCell ref="J4:L5"/>
    <mergeCell ref="P43:Q43"/>
    <mergeCell ref="I54:J54"/>
    <mergeCell ref="I55:J55"/>
    <mergeCell ref="A39:Q39"/>
    <mergeCell ref="L51:N51"/>
    <mergeCell ref="L49:N49"/>
    <mergeCell ref="Q47:Q48"/>
    <mergeCell ref="O47:P47"/>
    <mergeCell ref="P45:Q45"/>
    <mergeCell ref="A41:D41"/>
    <mergeCell ref="P46:Q46"/>
    <mergeCell ref="F43:I43"/>
    <mergeCell ref="C7:C8"/>
    <mergeCell ref="D7:D8"/>
    <mergeCell ref="G7:G8"/>
    <mergeCell ref="J40:O40"/>
    <mergeCell ref="B7:B8"/>
    <mergeCell ref="O53:P53"/>
    <mergeCell ref="P7:P8"/>
    <mergeCell ref="A40:D40"/>
    <mergeCell ref="C96:G96"/>
    <mergeCell ref="F87:I87"/>
    <mergeCell ref="B90:D90"/>
    <mergeCell ref="A52:B52"/>
    <mergeCell ref="A50:B50"/>
    <mergeCell ref="C52:D52"/>
    <mergeCell ref="C50:D50"/>
    <mergeCell ref="H96:J96"/>
    <mergeCell ref="F90:I90"/>
    <mergeCell ref="C69:G69"/>
    <mergeCell ref="C70:G70"/>
    <mergeCell ref="A56:AE56"/>
    <mergeCell ref="A72:B72"/>
    <mergeCell ref="A73:I73"/>
    <mergeCell ref="AD67:AE80"/>
    <mergeCell ref="Z68:AA68"/>
    <mergeCell ref="Z69:AA69"/>
    <mergeCell ref="Z70:AA70"/>
    <mergeCell ref="L55:N55"/>
    <mergeCell ref="L53:N53"/>
    <mergeCell ref="O54:P54"/>
    <mergeCell ref="O55:P55"/>
    <mergeCell ref="I53:J53"/>
    <mergeCell ref="I50:J50"/>
    <mergeCell ref="S2:AE2"/>
    <mergeCell ref="A23:A24"/>
    <mergeCell ref="B23:B24"/>
    <mergeCell ref="C23:C24"/>
    <mergeCell ref="D23:D24"/>
    <mergeCell ref="F23:F24"/>
    <mergeCell ref="G23:G24"/>
    <mergeCell ref="I23:I24"/>
    <mergeCell ref="J23:J24"/>
    <mergeCell ref="L23:L24"/>
    <mergeCell ref="A7:A8"/>
    <mergeCell ref="I7:I8"/>
    <mergeCell ref="J7:J8"/>
    <mergeCell ref="L7:L8"/>
    <mergeCell ref="M7:M8"/>
    <mergeCell ref="N7:N8"/>
    <mergeCell ref="O7:O8"/>
    <mergeCell ref="Q7:Q8"/>
    <mergeCell ref="AD17:AF17"/>
    <mergeCell ref="AD14:AF14"/>
    <mergeCell ref="AD15:AF15"/>
    <mergeCell ref="A22:Q22"/>
    <mergeCell ref="H23:H24"/>
    <mergeCell ref="P3:Q3"/>
    <mergeCell ref="M100:N100"/>
    <mergeCell ref="A100:L100"/>
    <mergeCell ref="S102:AE102"/>
    <mergeCell ref="S107:AE108"/>
    <mergeCell ref="A112:F112"/>
    <mergeCell ref="G112:I112"/>
    <mergeCell ref="S52:AC52"/>
    <mergeCell ref="AD26:AF26"/>
    <mergeCell ref="AD24:AF24"/>
    <mergeCell ref="AD35:AF35"/>
    <mergeCell ref="AB28:AC28"/>
    <mergeCell ref="AD28:AF28"/>
    <mergeCell ref="S29:AA29"/>
    <mergeCell ref="S30:AA30"/>
    <mergeCell ref="S31:AA31"/>
    <mergeCell ref="S32:AA32"/>
    <mergeCell ref="S33:AA33"/>
    <mergeCell ref="Z71:AA71"/>
    <mergeCell ref="Z72:AA72"/>
    <mergeCell ref="Z73:AA73"/>
    <mergeCell ref="F45:I45"/>
    <mergeCell ref="A95:B95"/>
    <mergeCell ref="A96:B96"/>
    <mergeCell ref="C95:G95"/>
    <mergeCell ref="T118:Y118"/>
    <mergeCell ref="A104:L104"/>
    <mergeCell ref="H106:L106"/>
    <mergeCell ref="H107:L108"/>
    <mergeCell ref="A107:D107"/>
    <mergeCell ref="A108:D108"/>
    <mergeCell ref="F106:G106"/>
    <mergeCell ref="F107:G107"/>
    <mergeCell ref="J112:L112"/>
    <mergeCell ref="S112:U112"/>
    <mergeCell ref="V112:Y112"/>
    <mergeCell ref="J111:L111"/>
    <mergeCell ref="M112:N112"/>
    <mergeCell ref="F108:G108"/>
    <mergeCell ref="O105:P108"/>
    <mergeCell ref="M110:P110"/>
    <mergeCell ref="Q105:Q112"/>
    <mergeCell ref="O112:P112"/>
    <mergeCell ref="S110:T110"/>
    <mergeCell ref="X109:AE110"/>
    <mergeCell ref="Z112:AA112"/>
    <mergeCell ref="AB112:AE112"/>
    <mergeCell ref="T105:Z105"/>
    <mergeCell ref="V104:Y104"/>
    <mergeCell ref="AD51:AF51"/>
    <mergeCell ref="S49:U49"/>
    <mergeCell ref="V49:X49"/>
    <mergeCell ref="S34:AA34"/>
    <mergeCell ref="S35:AA35"/>
    <mergeCell ref="AD25:AF25"/>
    <mergeCell ref="AD30:AF30"/>
    <mergeCell ref="AD31:AF31"/>
    <mergeCell ref="AD33:AF33"/>
    <mergeCell ref="S37:AA37"/>
    <mergeCell ref="AD50:AF50"/>
    <mergeCell ref="S50:AC50"/>
    <mergeCell ref="S25:U25"/>
    <mergeCell ref="S27:AA27"/>
    <mergeCell ref="AB27:AC27"/>
    <mergeCell ref="AD34:AF34"/>
    <mergeCell ref="S26:AA26"/>
    <mergeCell ref="AB30:AC30"/>
    <mergeCell ref="AB31:AC31"/>
    <mergeCell ref="AB32:AC32"/>
    <mergeCell ref="AB33:AC33"/>
    <mergeCell ref="AD32:AF32"/>
    <mergeCell ref="AB36:AC36"/>
    <mergeCell ref="AB37:AC37"/>
    <mergeCell ref="AD44:AF44"/>
    <mergeCell ref="AD45:AF45"/>
    <mergeCell ref="S44:AC44"/>
    <mergeCell ref="S45:AC45"/>
    <mergeCell ref="AD46:AF46"/>
    <mergeCell ref="S47:AE47"/>
    <mergeCell ref="S48:U48"/>
    <mergeCell ref="V48:X48"/>
    <mergeCell ref="Y48:AA48"/>
    <mergeCell ref="S46:AC46"/>
    <mergeCell ref="AB48:AE48"/>
    <mergeCell ref="N85:O85"/>
    <mergeCell ref="F85:I85"/>
    <mergeCell ref="F84:I84"/>
    <mergeCell ref="O48:P48"/>
    <mergeCell ref="O49:P49"/>
    <mergeCell ref="P82:Q83"/>
    <mergeCell ref="O51:P51"/>
    <mergeCell ref="C51:D51"/>
    <mergeCell ref="J62:N62"/>
    <mergeCell ref="J63:N63"/>
    <mergeCell ref="J61:N61"/>
    <mergeCell ref="A57:Q57"/>
    <mergeCell ref="A59:Q59"/>
    <mergeCell ref="J60:Q60"/>
    <mergeCell ref="A60:I60"/>
    <mergeCell ref="O63:Q63"/>
    <mergeCell ref="O62:Q62"/>
    <mergeCell ref="O61:Q61"/>
    <mergeCell ref="A55:G55"/>
    <mergeCell ref="I48:J48"/>
    <mergeCell ref="I49:J49"/>
    <mergeCell ref="H72:I72"/>
    <mergeCell ref="A82:A83"/>
    <mergeCell ref="B82:D83"/>
    <mergeCell ref="J73:M73"/>
    <mergeCell ref="Y58:AA58"/>
    <mergeCell ref="A80:C80"/>
    <mergeCell ref="A75:C75"/>
    <mergeCell ref="A76:C76"/>
    <mergeCell ref="A77:C77"/>
    <mergeCell ref="A78:C78"/>
    <mergeCell ref="A79:C79"/>
    <mergeCell ref="A74:Q74"/>
    <mergeCell ref="A67:B68"/>
    <mergeCell ref="A69:B69"/>
    <mergeCell ref="A70:B70"/>
    <mergeCell ref="A71:B71"/>
    <mergeCell ref="C67:G68"/>
    <mergeCell ref="H67:I68"/>
    <mergeCell ref="H69:I69"/>
    <mergeCell ref="H70:I70"/>
    <mergeCell ref="C71:G71"/>
    <mergeCell ref="D61:I61"/>
    <mergeCell ref="Z74:AA74"/>
    <mergeCell ref="Z75:AA75"/>
    <mergeCell ref="Z77:AA77"/>
    <mergeCell ref="Z78:AA78"/>
    <mergeCell ref="Z79:AA79"/>
    <mergeCell ref="A21:B21"/>
    <mergeCell ref="A37:B37"/>
    <mergeCell ref="M23:M24"/>
    <mergeCell ref="N23:N24"/>
    <mergeCell ref="O23:O24"/>
    <mergeCell ref="P23:P24"/>
    <mergeCell ref="F44:I44"/>
    <mergeCell ref="J46:O46"/>
    <mergeCell ref="P40:Q40"/>
    <mergeCell ref="P41:Q41"/>
    <mergeCell ref="P42:Q42"/>
    <mergeCell ref="J43:O43"/>
    <mergeCell ref="J44:O44"/>
    <mergeCell ref="P44:Q44"/>
    <mergeCell ref="F41:I41"/>
    <mergeCell ref="F42:I42"/>
    <mergeCell ref="P4:Q4"/>
    <mergeCell ref="D3:I3"/>
    <mergeCell ref="A5:C5"/>
    <mergeCell ref="D5:I5"/>
    <mergeCell ref="M5:O5"/>
    <mergeCell ref="A3:C3"/>
    <mergeCell ref="P5:Q5"/>
    <mergeCell ref="F7:F8"/>
    <mergeCell ref="A6:Q6"/>
    <mergeCell ref="H7:H8"/>
    <mergeCell ref="A4:C4"/>
    <mergeCell ref="M3:O3"/>
    <mergeCell ref="D4:I4"/>
    <mergeCell ref="M4:O4"/>
    <mergeCell ref="AA14:AC14"/>
    <mergeCell ref="S9:Y9"/>
    <mergeCell ref="S14:Z14"/>
    <mergeCell ref="AB10:AC10"/>
    <mergeCell ref="V10:X10"/>
    <mergeCell ref="S16:AF16"/>
    <mergeCell ref="S13:T13"/>
    <mergeCell ref="U13:V13"/>
    <mergeCell ref="W13:X13"/>
    <mergeCell ref="AB13:AC13"/>
    <mergeCell ref="W12:X12"/>
    <mergeCell ref="S12:T12"/>
    <mergeCell ref="U12:V12"/>
    <mergeCell ref="AB12:AC12"/>
    <mergeCell ref="Y13:AA13"/>
    <mergeCell ref="S15:AC15"/>
    <mergeCell ref="Y10:AA10"/>
    <mergeCell ref="AD12:AE12"/>
    <mergeCell ref="V11:X11"/>
    <mergeCell ref="S20:U20"/>
    <mergeCell ref="V17:W17"/>
    <mergeCell ref="V18:W18"/>
    <mergeCell ref="V19:W19"/>
    <mergeCell ref="V20:W20"/>
    <mergeCell ref="AD20:AF20"/>
    <mergeCell ref="X20:AC20"/>
    <mergeCell ref="S17:U17"/>
    <mergeCell ref="S18:U18"/>
    <mergeCell ref="S19:U19"/>
    <mergeCell ref="AD18:AF18"/>
    <mergeCell ref="AD19:AF19"/>
    <mergeCell ref="S6:AA6"/>
    <mergeCell ref="S7:AA7"/>
    <mergeCell ref="AB6:AC6"/>
    <mergeCell ref="W8:X8"/>
    <mergeCell ref="S5:V5"/>
    <mergeCell ref="W5:X5"/>
    <mergeCell ref="Y5:AA5"/>
    <mergeCell ref="AD9:AF9"/>
    <mergeCell ref="AD11:AF11"/>
    <mergeCell ref="Y11:AA11"/>
    <mergeCell ref="AB11:AC11"/>
    <mergeCell ref="S8:V8"/>
    <mergeCell ref="Y8:AA8"/>
    <mergeCell ref="AB8:AC8"/>
    <mergeCell ref="AD8:AF8"/>
    <mergeCell ref="T10:U10"/>
    <mergeCell ref="AD10:AE10"/>
    <mergeCell ref="AD22:AF22"/>
    <mergeCell ref="S21:U21"/>
    <mergeCell ref="T11:U11"/>
    <mergeCell ref="AA3:AF3"/>
    <mergeCell ref="AA4:AF4"/>
    <mergeCell ref="W4:Z4"/>
    <mergeCell ref="W3:Z3"/>
    <mergeCell ref="S3:V3"/>
    <mergeCell ref="S4:V4"/>
    <mergeCell ref="AD13:AF13"/>
    <mergeCell ref="V21:W21"/>
    <mergeCell ref="X21:AC21"/>
    <mergeCell ref="AD21:AF21"/>
    <mergeCell ref="X17:AC17"/>
    <mergeCell ref="X18:AC18"/>
    <mergeCell ref="X19:AC19"/>
    <mergeCell ref="AB9:AC9"/>
    <mergeCell ref="AD5:AF5"/>
    <mergeCell ref="AD6:AF6"/>
    <mergeCell ref="AD7:AF7"/>
    <mergeCell ref="Y12:AA12"/>
    <mergeCell ref="AB5:AC5"/>
    <mergeCell ref="Z9:AA9"/>
    <mergeCell ref="AB7:AC7"/>
    <mergeCell ref="AD23:AF23"/>
    <mergeCell ref="X24:AC24"/>
    <mergeCell ref="V23:W23"/>
    <mergeCell ref="V24:W24"/>
    <mergeCell ref="AD29:AF29"/>
    <mergeCell ref="AD27:AF27"/>
    <mergeCell ref="X25:AC25"/>
    <mergeCell ref="V25:W25"/>
    <mergeCell ref="AB26:AC26"/>
    <mergeCell ref="B91:C91"/>
    <mergeCell ref="AD36:AF36"/>
    <mergeCell ref="AD37:AF37"/>
    <mergeCell ref="AD38:AF38"/>
    <mergeCell ref="S36:AA36"/>
    <mergeCell ref="AD39:AF39"/>
    <mergeCell ref="AD43:AF43"/>
    <mergeCell ref="AD41:AF41"/>
    <mergeCell ref="AD42:AF42"/>
    <mergeCell ref="AA43:AC43"/>
    <mergeCell ref="AD40:AF40"/>
    <mergeCell ref="F48:H48"/>
    <mergeCell ref="F49:H49"/>
    <mergeCell ref="J45:O45"/>
    <mergeCell ref="J41:O41"/>
    <mergeCell ref="J42:O42"/>
    <mergeCell ref="N38:O38"/>
    <mergeCell ref="A38:B38"/>
    <mergeCell ref="C38:D38"/>
    <mergeCell ref="G38:I38"/>
    <mergeCell ref="J38:L38"/>
    <mergeCell ref="A65:I65"/>
    <mergeCell ref="O52:P52"/>
    <mergeCell ref="L50:N50"/>
    <mergeCell ref="N97:Q97"/>
    <mergeCell ref="J84:M84"/>
    <mergeCell ref="M104:N107"/>
    <mergeCell ref="M108:N108"/>
    <mergeCell ref="O109:P109"/>
    <mergeCell ref="J82:M83"/>
    <mergeCell ref="D91:J91"/>
    <mergeCell ref="B92:J92"/>
    <mergeCell ref="B93:Q94"/>
    <mergeCell ref="L92:Q92"/>
    <mergeCell ref="P85:Q85"/>
    <mergeCell ref="P86:Q86"/>
    <mergeCell ref="A89:Q89"/>
    <mergeCell ref="F88:Q88"/>
    <mergeCell ref="P87:Q87"/>
    <mergeCell ref="O91:Q91"/>
    <mergeCell ref="L91:N91"/>
    <mergeCell ref="L97:M97"/>
    <mergeCell ref="L96:Q96"/>
    <mergeCell ref="A98:Q98"/>
    <mergeCell ref="A99:Q99"/>
    <mergeCell ref="M101:N101"/>
    <mergeCell ref="A105:L105"/>
    <mergeCell ref="A106:D106"/>
    <mergeCell ref="A103:L103"/>
    <mergeCell ref="A110:C111"/>
    <mergeCell ref="A109:N109"/>
    <mergeCell ref="D110:I110"/>
    <mergeCell ref="D111:I111"/>
    <mergeCell ref="J110:L110"/>
    <mergeCell ref="M103:N103"/>
    <mergeCell ref="O111:P111"/>
    <mergeCell ref="M111:N111"/>
    <mergeCell ref="O104:P104"/>
    <mergeCell ref="P84:Q84"/>
    <mergeCell ref="P38:Q38"/>
    <mergeCell ref="F46:I46"/>
    <mergeCell ref="A45:D45"/>
    <mergeCell ref="A48:B48"/>
    <mergeCell ref="A49:B49"/>
    <mergeCell ref="C49:D49"/>
    <mergeCell ref="C48:D48"/>
    <mergeCell ref="L47:N47"/>
    <mergeCell ref="L48:N48"/>
    <mergeCell ref="A46:D46"/>
    <mergeCell ref="A47:J47"/>
    <mergeCell ref="A42:D42"/>
    <mergeCell ref="A43:D43"/>
    <mergeCell ref="A44:D44"/>
    <mergeCell ref="F40:I40"/>
    <mergeCell ref="B84:D84"/>
    <mergeCell ref="F82:I83"/>
    <mergeCell ref="N82:O83"/>
    <mergeCell ref="J70:M70"/>
    <mergeCell ref="J71:M71"/>
    <mergeCell ref="A58:Q58"/>
    <mergeCell ref="D63:I63"/>
    <mergeCell ref="A61:C61"/>
    <mergeCell ref="J69:M69"/>
    <mergeCell ref="C72:G72"/>
    <mergeCell ref="N64:Q64"/>
    <mergeCell ref="J64:M64"/>
    <mergeCell ref="J65:M65"/>
    <mergeCell ref="A66:Q66"/>
    <mergeCell ref="N65:Q65"/>
    <mergeCell ref="J67:M68"/>
    <mergeCell ref="AB35:AC35"/>
    <mergeCell ref="A62:C62"/>
    <mergeCell ref="A63:C63"/>
    <mergeCell ref="L52:N52"/>
    <mergeCell ref="O50:P50"/>
    <mergeCell ref="Q50:Q55"/>
    <mergeCell ref="I51:J51"/>
    <mergeCell ref="H71:I71"/>
    <mergeCell ref="A64:I64"/>
    <mergeCell ref="J72:M72"/>
    <mergeCell ref="S51:AC51"/>
    <mergeCell ref="X43:Z43"/>
    <mergeCell ref="S41:AC41"/>
    <mergeCell ref="S42:AC42"/>
    <mergeCell ref="Y49:AA49"/>
    <mergeCell ref="AB49:AE49"/>
    <mergeCell ref="N67:O68"/>
    <mergeCell ref="P69:Q69"/>
    <mergeCell ref="P70:Q70"/>
    <mergeCell ref="P71:Q71"/>
    <mergeCell ref="P72:Q72"/>
    <mergeCell ref="P73:Q73"/>
    <mergeCell ref="N69:O69"/>
    <mergeCell ref="N70:O70"/>
    <mergeCell ref="N71:O71"/>
    <mergeCell ref="N72:O72"/>
    <mergeCell ref="N73:O73"/>
    <mergeCell ref="A51:B51"/>
    <mergeCell ref="A53:H53"/>
    <mergeCell ref="A54:H54"/>
    <mergeCell ref="F50:H50"/>
    <mergeCell ref="F51:H51"/>
    <mergeCell ref="F52:J52"/>
    <mergeCell ref="AB34:AC34"/>
    <mergeCell ref="X22:AC22"/>
    <mergeCell ref="X23:AC23"/>
    <mergeCell ref="S23:U23"/>
    <mergeCell ref="S24:U24"/>
    <mergeCell ref="S22:U22"/>
    <mergeCell ref="AB29:AC29"/>
    <mergeCell ref="V22:W22"/>
    <mergeCell ref="Q23:Q24"/>
    <mergeCell ref="S43:T43"/>
    <mergeCell ref="U43:W43"/>
    <mergeCell ref="S40:AC40"/>
    <mergeCell ref="S38:AC38"/>
    <mergeCell ref="S39:AC39"/>
    <mergeCell ref="W53:AA55"/>
    <mergeCell ref="S53:V53"/>
    <mergeCell ref="S55:V55"/>
    <mergeCell ref="AB53:AE53"/>
    <mergeCell ref="AD52:AF52"/>
    <mergeCell ref="O100:P103"/>
    <mergeCell ref="N84:O84"/>
    <mergeCell ref="J90:N90"/>
    <mergeCell ref="Q100:Q103"/>
    <mergeCell ref="B87:D87"/>
    <mergeCell ref="B88:D88"/>
    <mergeCell ref="B85:D85"/>
    <mergeCell ref="B86:D86"/>
    <mergeCell ref="J85:M85"/>
    <mergeCell ref="J86:M86"/>
    <mergeCell ref="N86:O86"/>
    <mergeCell ref="N87:O87"/>
    <mergeCell ref="J87:M87"/>
    <mergeCell ref="H95:Q95"/>
    <mergeCell ref="A97:J97"/>
    <mergeCell ref="M102:N102"/>
    <mergeCell ref="O90:Q90"/>
    <mergeCell ref="F86:I86"/>
    <mergeCell ref="A101:L101"/>
    <mergeCell ref="A102:L102"/>
    <mergeCell ref="D62:I62"/>
    <mergeCell ref="A81:Q81"/>
    <mergeCell ref="P67:Q68"/>
    <mergeCell ref="AB59:AC59"/>
    <mergeCell ref="AD59:AF59"/>
    <mergeCell ref="S59:AA59"/>
    <mergeCell ref="S62:X62"/>
    <mergeCell ref="Y62:AA62"/>
    <mergeCell ref="S63:X63"/>
    <mergeCell ref="Y63:AA63"/>
    <mergeCell ref="AB63:AC63"/>
    <mergeCell ref="Z103:AB103"/>
    <mergeCell ref="W103:Y103"/>
    <mergeCell ref="T103:V103"/>
    <mergeCell ref="AC103:AE103"/>
    <mergeCell ref="Z87:AA87"/>
    <mergeCell ref="Z88:AA88"/>
    <mergeCell ref="Z89:AA89"/>
    <mergeCell ref="AD65:AE65"/>
    <mergeCell ref="AD64:AE64"/>
    <mergeCell ref="AB61:AC62"/>
    <mergeCell ref="AB60:AC60"/>
    <mergeCell ref="AB65:AC65"/>
    <mergeCell ref="AD60:AE63"/>
    <mergeCell ref="S92:AC92"/>
    <mergeCell ref="Z90:AA90"/>
    <mergeCell ref="Z91:AA91"/>
    <mergeCell ref="T106:AE106"/>
    <mergeCell ref="Z104:AB104"/>
    <mergeCell ref="Z111:AE111"/>
    <mergeCell ref="AD81:AE81"/>
    <mergeCell ref="Z67:AA67"/>
    <mergeCell ref="S101:AE101"/>
    <mergeCell ref="AA105:AE105"/>
    <mergeCell ref="S72:Y72"/>
    <mergeCell ref="AC104:AE104"/>
    <mergeCell ref="U109:W109"/>
    <mergeCell ref="U110:W110"/>
    <mergeCell ref="S109:T109"/>
    <mergeCell ref="AB83:AC83"/>
    <mergeCell ref="AB84:AC84"/>
    <mergeCell ref="S86:Y86"/>
    <mergeCell ref="Z84:AA84"/>
    <mergeCell ref="Z85:AA85"/>
    <mergeCell ref="Z86:AA86"/>
    <mergeCell ref="AB85:AC85"/>
    <mergeCell ref="AB86:AC86"/>
    <mergeCell ref="AB87:AC87"/>
    <mergeCell ref="AB88:AC88"/>
    <mergeCell ref="AB89:AC89"/>
    <mergeCell ref="AB90:AC90"/>
  </mergeCells>
  <hyperlinks>
    <hyperlink ref="A1:D1" location="'I-Tax Master'!A1" tooltip=" " display="Back To Main Menu"/>
  </hyperlinks>
  <pageMargins left="0.92" right="0" top="0.75" bottom="0.75" header="0" footer="0"/>
  <pageSetup paperSize="9" scale="70" pageOrder="overThenDown" orientation="portrait" r:id="rId1"/>
  <headerFooter>
    <oddFooter>&amp;C&amp;"Brush Script MT,Regular"by dks kumawat/income tax/2016-17</oddFooter>
  </headerFooter>
  <ignoredErrors>
    <ignoredError sqref="A2:AF8 A28:AF29 A27:S27 AD27:AF27 A21:AF24 A13:B13 D13:AF13 A56:AF68 A55:N55 P55:AF55 A54 A53 I53:AF53 I54:AF54 A52:AF52 A48:B48 J48:AF48 A49:B49 I49:AF49 A50:B50 J50:AF50 A51:B51 J51:AF51 A70:AF97 A69:Y69 AA69:AF69 A35:AC35 A34:AC34 A32:AC33 A30:R30 D49:F49 D48:F48 D50:F50 D51:F51 A38:AF39 A37:R37 T37:AB37 AC37:AF37 T30:AC30 A31:N31 T31:AC31 A36:R36 T36:AC36 AE36:AF36 AE31:AF31 AE30:AF30 AD32:AF33 AE34:AF34 AD35:AF35 AD36 AD30 A99:AF1048576 A98:AC98 AE98:AF98 AB27 A10:A12 A9 D9:H9 A14:A20 C15:AF20 D11:AF12 A47:AF47 A40:E40 G40:AF40 A41:E41 G41:AF41 A42:E42 G42:AF42 A43:E43 G43:AF43 A44:E44 G44:AF44 A45:E45 G45:AF45 A46:E46 G46:AF46 O9:AF9 D10:M10 J9:M9 A26:C26 A25:H25 P25:AF25 J25:L25 O10:AF10 C14:I14 K14:AF14 E26:AF26 P31:R31" unlockedFormula="1"/>
    <ignoredError sqref="C13 Z69 AD34 AD31 AD98" formula="1" unlockedFormula="1"/>
  </ignoredErrors>
</worksheet>
</file>

<file path=xl/worksheets/sheet6.xml><?xml version="1.0" encoding="utf-8"?>
<worksheet xmlns="http://schemas.openxmlformats.org/spreadsheetml/2006/main" xmlns:r="http://schemas.openxmlformats.org/officeDocument/2006/relationships">
  <dimension ref="A1:AJ150"/>
  <sheetViews>
    <sheetView view="pageBreakPreview" topLeftCell="A15" zoomScaleSheetLayoutView="100" workbookViewId="0">
      <selection activeCell="N26" sqref="N26"/>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50"/>
      <c r="AG1" s="151"/>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854" t="str">
        <f>'DDO '!B3</f>
        <v>2016-17</v>
      </c>
      <c r="E3" s="1238"/>
      <c r="F3" s="1238"/>
      <c r="G3" s="1238"/>
      <c r="H3" s="1238"/>
      <c r="I3" s="1239"/>
      <c r="J3" s="1182" t="s">
        <v>341</v>
      </c>
      <c r="K3" s="1183"/>
      <c r="L3" s="1184"/>
      <c r="M3" s="982" t="s">
        <v>7</v>
      </c>
      <c r="N3" s="833"/>
      <c r="O3" s="833"/>
      <c r="P3" s="949" t="str">
        <f>'DDO '!G3</f>
        <v>2017-18</v>
      </c>
      <c r="Q3" s="950"/>
      <c r="R3" s="50"/>
      <c r="S3" s="960" t="str">
        <f>D4</f>
        <v>JAGADISH PRASAD CHOUHAN</v>
      </c>
      <c r="T3" s="961"/>
      <c r="U3" s="961"/>
      <c r="V3" s="962"/>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'Emp.-Detail'!B10</f>
        <v>JAGADISH PRASAD CHOUHAN</v>
      </c>
      <c r="E4" s="949"/>
      <c r="F4" s="949"/>
      <c r="G4" s="949"/>
      <c r="H4" s="949"/>
      <c r="I4" s="854"/>
      <c r="J4" s="1185">
        <f>'Emp.-Detail'!A10</f>
        <v>2</v>
      </c>
      <c r="K4" s="1186"/>
      <c r="L4" s="1187"/>
      <c r="M4" s="982" t="s">
        <v>8</v>
      </c>
      <c r="N4" s="833"/>
      <c r="O4" s="833"/>
      <c r="P4" s="949" t="str">
        <f>'Emp.-Detail'!C10</f>
        <v>Lecturer</v>
      </c>
      <c r="Q4" s="950"/>
      <c r="R4" s="50"/>
      <c r="S4" s="963" t="str">
        <f>D5</f>
        <v>ABPPC0835K</v>
      </c>
      <c r="T4" s="855"/>
      <c r="U4" s="855"/>
      <c r="V4" s="964"/>
      <c r="W4" s="959" t="str">
        <f>'Emp.-Detail'!H10</f>
        <v>51110471261</v>
      </c>
      <c r="X4" s="949"/>
      <c r="Y4" s="949"/>
      <c r="Z4" s="949"/>
      <c r="AA4" s="949" t="str">
        <f>'Emp.-Detail'!I10</f>
        <v>SBBJ, Sujangarh</v>
      </c>
      <c r="AB4" s="949"/>
      <c r="AC4" s="949"/>
      <c r="AD4" s="949"/>
      <c r="AE4" s="949"/>
      <c r="AF4" s="950"/>
      <c r="AG4" s="17"/>
    </row>
    <row r="5" spans="1:33" ht="19.5" customHeight="1" thickBot="1">
      <c r="A5" s="954" t="s">
        <v>135</v>
      </c>
      <c r="B5" s="833"/>
      <c r="C5" s="833"/>
      <c r="D5" s="949" t="str">
        <f>'Emp.-Detail'!D10</f>
        <v>ABPPC0835K</v>
      </c>
      <c r="E5" s="949"/>
      <c r="F5" s="949"/>
      <c r="G5" s="949"/>
      <c r="H5" s="949"/>
      <c r="I5" s="854"/>
      <c r="J5" s="1188"/>
      <c r="K5" s="1189"/>
      <c r="L5" s="1190"/>
      <c r="M5" s="982" t="s">
        <v>137</v>
      </c>
      <c r="N5" s="833"/>
      <c r="O5" s="833"/>
      <c r="P5" s="959">
        <f>'Emp.-Detail'!G10</f>
        <v>9414422048</v>
      </c>
      <c r="Q5" s="950"/>
      <c r="R5" s="50"/>
      <c r="S5" s="974" t="s">
        <v>203</v>
      </c>
      <c r="T5" s="975"/>
      <c r="U5" s="975"/>
      <c r="V5" s="975"/>
      <c r="W5" s="951">
        <f>SUM(Q9:Q20)</f>
        <v>742140</v>
      </c>
      <c r="X5" s="951"/>
      <c r="Y5" s="976" t="s">
        <v>202</v>
      </c>
      <c r="Z5" s="976"/>
      <c r="AA5" s="976"/>
      <c r="AB5" s="951">
        <f>P46</f>
        <v>0</v>
      </c>
      <c r="AC5" s="949"/>
      <c r="AD5" s="941">
        <f>W5+AB5</f>
        <v>742140</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742140</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742140</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742140</v>
      </c>
      <c r="AE8" s="942"/>
      <c r="AF8" s="943"/>
      <c r="AG8" s="17"/>
    </row>
    <row r="9" spans="1:33" ht="19.5" customHeight="1">
      <c r="A9" s="285">
        <v>1</v>
      </c>
      <c r="B9" s="286">
        <v>42430</v>
      </c>
      <c r="C9" s="190">
        <f>'Emp.-Detail'!E10</f>
        <v>25260</v>
      </c>
      <c r="D9" s="190">
        <f>ROUND(C9*119%,0)</f>
        <v>30059</v>
      </c>
      <c r="E9" s="191">
        <f>ROUND((C9+D9)*10%,0)</f>
        <v>5532</v>
      </c>
      <c r="F9" s="190">
        <f>ROUND(C9*10%,0)</f>
        <v>2526</v>
      </c>
      <c r="G9" s="190">
        <v>0</v>
      </c>
      <c r="H9" s="190">
        <v>0</v>
      </c>
      <c r="I9" s="192">
        <f>ROUND(C9*6%,0)*3</f>
        <v>4548</v>
      </c>
      <c r="J9" s="190">
        <v>0</v>
      </c>
      <c r="K9" s="190">
        <f>ROUND((I9+J9)*10%,0)</f>
        <v>455</v>
      </c>
      <c r="L9" s="190">
        <v>0</v>
      </c>
      <c r="M9" s="190">
        <v>0</v>
      </c>
      <c r="N9" s="190">
        <v>0</v>
      </c>
      <c r="O9" s="190">
        <v>0</v>
      </c>
      <c r="P9" s="193">
        <v>0</v>
      </c>
      <c r="Q9" s="290">
        <f>C9+D9+F9+G9+H9+I9+J9+L9+M9+N9+O9</f>
        <v>62393</v>
      </c>
      <c r="R9" s="282"/>
      <c r="S9" s="984" t="s">
        <v>144</v>
      </c>
      <c r="T9" s="985"/>
      <c r="U9" s="985"/>
      <c r="V9" s="985"/>
      <c r="W9" s="985"/>
      <c r="X9" s="985"/>
      <c r="Y9" s="985"/>
      <c r="Z9" s="971" t="s">
        <v>18</v>
      </c>
      <c r="AA9" s="971"/>
      <c r="AB9" s="967">
        <f>O49</f>
        <v>0</v>
      </c>
      <c r="AC9" s="968"/>
      <c r="AD9" s="977">
        <f>AD8+AB9</f>
        <v>742140</v>
      </c>
      <c r="AE9" s="978"/>
      <c r="AF9" s="979"/>
      <c r="AG9" s="17"/>
    </row>
    <row r="10" spans="1:33" ht="19.5" customHeight="1">
      <c r="A10" s="187">
        <v>2</v>
      </c>
      <c r="B10" s="286">
        <v>42461</v>
      </c>
      <c r="C10" s="192">
        <f>C9</f>
        <v>25260</v>
      </c>
      <c r="D10" s="190">
        <f>ROUND(C10*125%,0)</f>
        <v>31575</v>
      </c>
      <c r="E10" s="191">
        <f t="shared" ref="E10:E20" si="0">ROUND((C10+D10)*10%,0)</f>
        <v>5684</v>
      </c>
      <c r="F10" s="190">
        <f t="shared" ref="F10:F20" si="1">ROUND(C10*10%,0)</f>
        <v>2526</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59361</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25260</v>
      </c>
      <c r="D11" s="190">
        <f t="shared" ref="D11:D15" si="4">ROUND(C11*125%,0)</f>
        <v>31575</v>
      </c>
      <c r="E11" s="191">
        <f t="shared" si="0"/>
        <v>5684</v>
      </c>
      <c r="F11" s="190">
        <f t="shared" si="1"/>
        <v>2526</v>
      </c>
      <c r="G11" s="192">
        <f t="shared" ref="G11:H20" si="5">G10</f>
        <v>0</v>
      </c>
      <c r="H11" s="192">
        <f t="shared" si="5"/>
        <v>0</v>
      </c>
      <c r="I11" s="192">
        <v>0</v>
      </c>
      <c r="J11" s="190">
        <v>0</v>
      </c>
      <c r="K11" s="190">
        <f t="shared" si="2"/>
        <v>0</v>
      </c>
      <c r="L11" s="190">
        <v>0</v>
      </c>
      <c r="M11" s="190">
        <v>0</v>
      </c>
      <c r="N11" s="190">
        <v>0</v>
      </c>
      <c r="O11" s="190">
        <v>0</v>
      </c>
      <c r="P11" s="193">
        <v>0</v>
      </c>
      <c r="Q11" s="290">
        <f t="shared" si="3"/>
        <v>59361</v>
      </c>
      <c r="R11" s="50"/>
      <c r="S11" s="292" t="s">
        <v>146</v>
      </c>
      <c r="T11" s="958">
        <f>O50</f>
        <v>0</v>
      </c>
      <c r="U11" s="948"/>
      <c r="V11" s="980">
        <f>O51</f>
        <v>0</v>
      </c>
      <c r="W11" s="958"/>
      <c r="X11" s="948"/>
      <c r="Y11" s="980">
        <f>Q49</f>
        <v>0</v>
      </c>
      <c r="Z11" s="958"/>
      <c r="AA11" s="948"/>
      <c r="AB11" s="980">
        <f>T11+V11+Y11</f>
        <v>0</v>
      </c>
      <c r="AC11" s="948"/>
      <c r="AD11" s="941">
        <f>AD9-AB11</f>
        <v>742140</v>
      </c>
      <c r="AE11" s="942"/>
      <c r="AF11" s="943"/>
      <c r="AG11" s="17"/>
    </row>
    <row r="12" spans="1:33" ht="19.5" customHeight="1">
      <c r="A12" s="187">
        <v>4</v>
      </c>
      <c r="B12" s="286">
        <v>42522</v>
      </c>
      <c r="C12" s="192">
        <f>C11</f>
        <v>25260</v>
      </c>
      <c r="D12" s="190">
        <f t="shared" si="4"/>
        <v>31575</v>
      </c>
      <c r="E12" s="191">
        <f t="shared" si="0"/>
        <v>5684</v>
      </c>
      <c r="F12" s="190">
        <f t="shared" si="1"/>
        <v>2526</v>
      </c>
      <c r="G12" s="192">
        <f t="shared" si="5"/>
        <v>0</v>
      </c>
      <c r="H12" s="192">
        <f t="shared" si="5"/>
        <v>0</v>
      </c>
      <c r="I12" s="192">
        <v>0</v>
      </c>
      <c r="J12" s="190">
        <v>0</v>
      </c>
      <c r="K12" s="190">
        <f t="shared" si="2"/>
        <v>0</v>
      </c>
      <c r="L12" s="190">
        <v>0</v>
      </c>
      <c r="M12" s="190">
        <v>0</v>
      </c>
      <c r="N12" s="190">
        <v>0</v>
      </c>
      <c r="O12" s="190">
        <v>0</v>
      </c>
      <c r="P12" s="193">
        <v>0</v>
      </c>
      <c r="Q12" s="290">
        <f t="shared" si="3"/>
        <v>59361</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26020</v>
      </c>
      <c r="D13" s="190">
        <f t="shared" si="4"/>
        <v>32525</v>
      </c>
      <c r="E13" s="191">
        <f t="shared" si="0"/>
        <v>5855</v>
      </c>
      <c r="F13" s="190">
        <f t="shared" si="1"/>
        <v>2602</v>
      </c>
      <c r="G13" s="192">
        <f t="shared" si="5"/>
        <v>0</v>
      </c>
      <c r="H13" s="192">
        <f t="shared" si="5"/>
        <v>0</v>
      </c>
      <c r="I13" s="192">
        <v>0</v>
      </c>
      <c r="J13" s="190">
        <v>0</v>
      </c>
      <c r="K13" s="190">
        <f t="shared" si="2"/>
        <v>0</v>
      </c>
      <c r="L13" s="190">
        <v>0</v>
      </c>
      <c r="M13" s="190">
        <v>0</v>
      </c>
      <c r="N13" s="190">
        <v>0</v>
      </c>
      <c r="O13" s="190">
        <v>0</v>
      </c>
      <c r="P13" s="193">
        <v>0</v>
      </c>
      <c r="Q13" s="290">
        <f t="shared" si="3"/>
        <v>61147</v>
      </c>
      <c r="R13" s="70"/>
      <c r="S13" s="991">
        <f>O52</f>
        <v>0</v>
      </c>
      <c r="T13" s="948"/>
      <c r="U13" s="980">
        <f>O53</f>
        <v>0</v>
      </c>
      <c r="V13" s="948"/>
      <c r="W13" s="980">
        <f>O54</f>
        <v>0</v>
      </c>
      <c r="X13" s="948"/>
      <c r="Y13" s="980">
        <f>O55</f>
        <v>0</v>
      </c>
      <c r="Z13" s="958"/>
      <c r="AA13" s="958"/>
      <c r="AB13" s="951">
        <f>SUM(S13:AA13)</f>
        <v>0</v>
      </c>
      <c r="AC13" s="951"/>
      <c r="AD13" s="941">
        <f>AD11+AB13</f>
        <v>742140</v>
      </c>
      <c r="AE13" s="965"/>
      <c r="AF13" s="966"/>
      <c r="AG13" s="17"/>
    </row>
    <row r="14" spans="1:33" ht="19.5" customHeight="1">
      <c r="A14" s="187">
        <v>6</v>
      </c>
      <c r="B14" s="286">
        <v>42583</v>
      </c>
      <c r="C14" s="192">
        <f t="shared" ref="C14:C20" si="6">C13</f>
        <v>26020</v>
      </c>
      <c r="D14" s="190">
        <f>ROUND(C14*125%,0)</f>
        <v>32525</v>
      </c>
      <c r="E14" s="191">
        <f t="shared" si="0"/>
        <v>5855</v>
      </c>
      <c r="F14" s="190">
        <f t="shared" si="1"/>
        <v>2602</v>
      </c>
      <c r="G14" s="192">
        <f t="shared" si="5"/>
        <v>0</v>
      </c>
      <c r="H14" s="192">
        <f t="shared" si="5"/>
        <v>0</v>
      </c>
      <c r="I14" s="192">
        <v>0</v>
      </c>
      <c r="J14" s="192">
        <f>ROUND(C13*6%,0)*3</f>
        <v>4683</v>
      </c>
      <c r="K14" s="190">
        <f t="shared" si="2"/>
        <v>468</v>
      </c>
      <c r="L14" s="190">
        <v>0</v>
      </c>
      <c r="M14" s="190">
        <v>0</v>
      </c>
      <c r="N14" s="190">
        <v>0</v>
      </c>
      <c r="O14" s="190">
        <v>0</v>
      </c>
      <c r="P14" s="193">
        <v>0</v>
      </c>
      <c r="Q14" s="290">
        <f t="shared" si="3"/>
        <v>65830</v>
      </c>
      <c r="R14" s="50"/>
      <c r="S14" s="954" t="s">
        <v>19</v>
      </c>
      <c r="T14" s="833"/>
      <c r="U14" s="833"/>
      <c r="V14" s="833"/>
      <c r="W14" s="833"/>
      <c r="X14" s="833"/>
      <c r="Y14" s="833"/>
      <c r="Z14" s="833"/>
      <c r="AA14" s="951">
        <f>I55</f>
        <v>0</v>
      </c>
      <c r="AB14" s="951"/>
      <c r="AC14" s="951"/>
      <c r="AD14" s="941">
        <f>AD13+AA14</f>
        <v>742140</v>
      </c>
      <c r="AE14" s="942"/>
      <c r="AF14" s="943"/>
      <c r="AG14" s="17"/>
    </row>
    <row r="15" spans="1:33" ht="19.5" customHeight="1">
      <c r="A15" s="187">
        <v>7</v>
      </c>
      <c r="B15" s="286">
        <v>42614</v>
      </c>
      <c r="C15" s="192">
        <f t="shared" si="6"/>
        <v>26020</v>
      </c>
      <c r="D15" s="190">
        <f t="shared" si="4"/>
        <v>32525</v>
      </c>
      <c r="E15" s="191">
        <f t="shared" si="0"/>
        <v>5855</v>
      </c>
      <c r="F15" s="190">
        <f t="shared" si="1"/>
        <v>2602</v>
      </c>
      <c r="G15" s="192">
        <f t="shared" si="5"/>
        <v>0</v>
      </c>
      <c r="H15" s="192">
        <f t="shared" si="5"/>
        <v>0</v>
      </c>
      <c r="I15" s="192">
        <v>0</v>
      </c>
      <c r="J15" s="192">
        <v>0</v>
      </c>
      <c r="K15" s="190">
        <f t="shared" si="2"/>
        <v>0</v>
      </c>
      <c r="L15" s="190">
        <v>0</v>
      </c>
      <c r="M15" s="190">
        <v>0</v>
      </c>
      <c r="N15" s="190">
        <v>0</v>
      </c>
      <c r="O15" s="190">
        <v>0</v>
      </c>
      <c r="P15" s="193">
        <v>0</v>
      </c>
      <c r="Q15" s="290">
        <f t="shared" si="3"/>
        <v>61147</v>
      </c>
      <c r="R15" s="50"/>
      <c r="S15" s="992" t="s">
        <v>20</v>
      </c>
      <c r="T15" s="993"/>
      <c r="U15" s="993"/>
      <c r="V15" s="993"/>
      <c r="W15" s="993"/>
      <c r="X15" s="993"/>
      <c r="Y15" s="993"/>
      <c r="Z15" s="993"/>
      <c r="AA15" s="993"/>
      <c r="AB15" s="993"/>
      <c r="AC15" s="993"/>
      <c r="AD15" s="941">
        <f>AD14</f>
        <v>742140</v>
      </c>
      <c r="AE15" s="942"/>
      <c r="AF15" s="943"/>
      <c r="AG15" s="17"/>
    </row>
    <row r="16" spans="1:33" ht="19.5" customHeight="1">
      <c r="A16" s="187">
        <v>8</v>
      </c>
      <c r="B16" s="286">
        <v>42644</v>
      </c>
      <c r="C16" s="192">
        <f t="shared" si="6"/>
        <v>26020</v>
      </c>
      <c r="D16" s="190">
        <f>ROUND(C16*131%,0)</f>
        <v>34086</v>
      </c>
      <c r="E16" s="191">
        <f t="shared" si="0"/>
        <v>6011</v>
      </c>
      <c r="F16" s="190">
        <f t="shared" si="1"/>
        <v>2602</v>
      </c>
      <c r="G16" s="192">
        <f t="shared" si="5"/>
        <v>0</v>
      </c>
      <c r="H16" s="192">
        <f t="shared" si="5"/>
        <v>0</v>
      </c>
      <c r="I16" s="192">
        <v>0</v>
      </c>
      <c r="J16" s="192">
        <v>0</v>
      </c>
      <c r="K16" s="190">
        <f t="shared" si="2"/>
        <v>0</v>
      </c>
      <c r="L16" s="190">
        <v>0</v>
      </c>
      <c r="M16" s="190">
        <v>0</v>
      </c>
      <c r="N16" s="190">
        <v>0</v>
      </c>
      <c r="O16" s="190">
        <v>0</v>
      </c>
      <c r="P16" s="193">
        <v>0</v>
      </c>
      <c r="Q16" s="290">
        <f t="shared" si="3"/>
        <v>62708</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26020</v>
      </c>
      <c r="D17" s="190">
        <f>ROUND(C17*131%,0)</f>
        <v>34086</v>
      </c>
      <c r="E17" s="191">
        <f t="shared" si="0"/>
        <v>6011</v>
      </c>
      <c r="F17" s="190">
        <f t="shared" si="1"/>
        <v>2602</v>
      </c>
      <c r="G17" s="192">
        <f t="shared" si="5"/>
        <v>0</v>
      </c>
      <c r="H17" s="192">
        <f t="shared" si="5"/>
        <v>0</v>
      </c>
      <c r="I17" s="192">
        <v>0</v>
      </c>
      <c r="J17" s="192">
        <v>0</v>
      </c>
      <c r="K17" s="190">
        <f t="shared" si="2"/>
        <v>0</v>
      </c>
      <c r="L17" s="190">
        <v>0</v>
      </c>
      <c r="M17" s="190">
        <v>0</v>
      </c>
      <c r="N17" s="190">
        <v>0</v>
      </c>
      <c r="O17" s="190">
        <v>0</v>
      </c>
      <c r="P17" s="193">
        <v>0</v>
      </c>
      <c r="Q17" s="290">
        <f t="shared" si="3"/>
        <v>62708</v>
      </c>
      <c r="R17" s="50"/>
      <c r="S17" s="954" t="s">
        <v>157</v>
      </c>
      <c r="T17" s="833"/>
      <c r="U17" s="833"/>
      <c r="V17" s="951">
        <f>IF('Emp.-Detail'!F10="NO",F37,0)</f>
        <v>9231</v>
      </c>
      <c r="W17" s="951"/>
      <c r="X17" s="833" t="s">
        <v>167</v>
      </c>
      <c r="Y17" s="833"/>
      <c r="Z17" s="833"/>
      <c r="AA17" s="833"/>
      <c r="AB17" s="833"/>
      <c r="AC17" s="833"/>
      <c r="AD17" s="831">
        <f>F45</f>
        <v>0</v>
      </c>
      <c r="AE17" s="831"/>
      <c r="AF17" s="955"/>
      <c r="AG17" s="17"/>
    </row>
    <row r="18" spans="1:34" ht="19.5" customHeight="1">
      <c r="A18" s="187">
        <v>10</v>
      </c>
      <c r="B18" s="286">
        <v>42705</v>
      </c>
      <c r="C18" s="192">
        <f t="shared" si="6"/>
        <v>26020</v>
      </c>
      <c r="D18" s="190">
        <f>ROUND(C18*131%,0)</f>
        <v>34086</v>
      </c>
      <c r="E18" s="191">
        <f t="shared" si="0"/>
        <v>6011</v>
      </c>
      <c r="F18" s="190">
        <f t="shared" si="1"/>
        <v>2602</v>
      </c>
      <c r="G18" s="192">
        <f t="shared" si="5"/>
        <v>0</v>
      </c>
      <c r="H18" s="192">
        <f t="shared" si="5"/>
        <v>0</v>
      </c>
      <c r="I18" s="192">
        <v>0</v>
      </c>
      <c r="J18" s="192">
        <v>0</v>
      </c>
      <c r="K18" s="190">
        <f t="shared" si="2"/>
        <v>0</v>
      </c>
      <c r="L18" s="190">
        <v>0</v>
      </c>
      <c r="M18" s="190">
        <v>0</v>
      </c>
      <c r="N18" s="190">
        <v>0</v>
      </c>
      <c r="O18" s="190">
        <v>0</v>
      </c>
      <c r="P18" s="193">
        <v>0</v>
      </c>
      <c r="Q18" s="290">
        <f t="shared" si="3"/>
        <v>62708</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26020</v>
      </c>
      <c r="D19" s="190">
        <f>ROUND(C19*131%,0)</f>
        <v>34086</v>
      </c>
      <c r="E19" s="191">
        <f t="shared" si="0"/>
        <v>6011</v>
      </c>
      <c r="F19" s="190">
        <f t="shared" si="1"/>
        <v>2602</v>
      </c>
      <c r="G19" s="192">
        <f t="shared" si="5"/>
        <v>0</v>
      </c>
      <c r="H19" s="192">
        <f t="shared" si="5"/>
        <v>0</v>
      </c>
      <c r="I19" s="192">
        <v>0</v>
      </c>
      <c r="J19" s="192">
        <v>0</v>
      </c>
      <c r="K19" s="190">
        <f t="shared" si="2"/>
        <v>0</v>
      </c>
      <c r="L19" s="190">
        <v>0</v>
      </c>
      <c r="M19" s="190">
        <v>0</v>
      </c>
      <c r="N19" s="190">
        <v>0</v>
      </c>
      <c r="O19" s="190">
        <v>0</v>
      </c>
      <c r="P19" s="193">
        <v>0</v>
      </c>
      <c r="Q19" s="290">
        <f t="shared" si="3"/>
        <v>62708</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26020</v>
      </c>
      <c r="D20" s="190">
        <f>ROUND(C20*131%,0)</f>
        <v>34086</v>
      </c>
      <c r="E20" s="191">
        <f t="shared" si="0"/>
        <v>6011</v>
      </c>
      <c r="F20" s="190">
        <f t="shared" si="1"/>
        <v>2602</v>
      </c>
      <c r="G20" s="192">
        <f t="shared" si="5"/>
        <v>0</v>
      </c>
      <c r="H20" s="192">
        <f t="shared" si="5"/>
        <v>0</v>
      </c>
      <c r="I20" s="192">
        <v>0</v>
      </c>
      <c r="J20" s="192">
        <v>0</v>
      </c>
      <c r="K20" s="190">
        <f t="shared" si="2"/>
        <v>0</v>
      </c>
      <c r="L20" s="190">
        <v>0</v>
      </c>
      <c r="M20" s="190">
        <v>0</v>
      </c>
      <c r="N20" s="190">
        <v>0</v>
      </c>
      <c r="O20" s="190">
        <v>0</v>
      </c>
      <c r="P20" s="193">
        <v>0</v>
      </c>
      <c r="Q20" s="290">
        <f t="shared" si="3"/>
        <v>62708</v>
      </c>
      <c r="R20" s="50"/>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309200</v>
      </c>
      <c r="D21" s="287">
        <f>SUM(D9:D20)</f>
        <v>392789</v>
      </c>
      <c r="E21" s="288">
        <f>SUM(E9:E20)</f>
        <v>70204</v>
      </c>
      <c r="F21" s="287">
        <f>SUM(F9:F20)</f>
        <v>30920</v>
      </c>
      <c r="G21" s="287">
        <f t="shared" si="7"/>
        <v>0</v>
      </c>
      <c r="H21" s="287">
        <f>SUM(H9:H20)</f>
        <v>0</v>
      </c>
      <c r="I21" s="287">
        <f t="shared" si="7"/>
        <v>4548</v>
      </c>
      <c r="J21" s="287">
        <f t="shared" si="7"/>
        <v>4683</v>
      </c>
      <c r="K21" s="287">
        <f>SUM(K9:K20)</f>
        <v>923</v>
      </c>
      <c r="L21" s="287">
        <f t="shared" si="7"/>
        <v>0</v>
      </c>
      <c r="M21" s="287">
        <f t="shared" si="7"/>
        <v>0</v>
      </c>
      <c r="N21" s="287">
        <f t="shared" si="7"/>
        <v>0</v>
      </c>
      <c r="O21" s="287">
        <f>SUM(O9:O20)</f>
        <v>0</v>
      </c>
      <c r="P21" s="289">
        <f>SUM(P9:P20)</f>
        <v>0</v>
      </c>
      <c r="Q21" s="84">
        <f>SUM(Q9:Q20)</f>
        <v>742140</v>
      </c>
      <c r="R21" s="50"/>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R22" s="50"/>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R23" s="50"/>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R24" s="50"/>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IF('Emp.-Detail'!F10="yes",E9)+IF('Emp.-Detail'!F10="NO",0)</f>
        <v>0</v>
      </c>
      <c r="D25" s="192">
        <f>IF('Emp.-Detail'!F10="YES",K9)+IF('Emp.-Detail'!F10="NO",I9,0)</f>
        <v>4548</v>
      </c>
      <c r="E25" s="195"/>
      <c r="F25" s="287">
        <f>SUM(C25:D25)</f>
        <v>4548</v>
      </c>
      <c r="G25" s="192">
        <v>0</v>
      </c>
      <c r="H25" s="194">
        <v>0</v>
      </c>
      <c r="I25" s="192">
        <v>3000</v>
      </c>
      <c r="J25" s="195">
        <v>0</v>
      </c>
      <c r="K25" s="195"/>
      <c r="L25" s="195">
        <v>0</v>
      </c>
      <c r="M25" s="196">
        <v>595</v>
      </c>
      <c r="N25" s="196">
        <v>0</v>
      </c>
      <c r="O25" s="196">
        <v>3500</v>
      </c>
      <c r="P25" s="192">
        <v>0</v>
      </c>
      <c r="Q25" s="297">
        <f>SUM(F25:P25)</f>
        <v>11643</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IF('Emp.-Detail'!F10="yes",E10)+IF('Emp.-Detail'!F10="NO",0)</f>
        <v>0</v>
      </c>
      <c r="D26" s="192">
        <f>IF('Emp.-Detail'!F10="YES",K10)+IF('Emp.-Detail'!F10="NO",I10,0)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3500</v>
      </c>
      <c r="P26" s="194">
        <f>'Emp.-Detail'!AB9+'Emp.-Detail'!AB9*14.5%</f>
        <v>251.9</v>
      </c>
      <c r="Q26" s="297">
        <f t="shared" ref="Q26:Q36" si="11">SUM(F26:P26)</f>
        <v>7346.9</v>
      </c>
      <c r="R26" s="50"/>
      <c r="S26" s="1089" t="s">
        <v>279</v>
      </c>
      <c r="T26" s="1090"/>
      <c r="U26" s="1090"/>
      <c r="V26" s="1090"/>
      <c r="W26" s="1090"/>
      <c r="X26" s="1090"/>
      <c r="Y26" s="1090"/>
      <c r="Z26" s="1090"/>
      <c r="AA26" s="1091"/>
      <c r="AB26" s="942">
        <f>SUM(V17:V25)+SUM(AD17:AD25)</f>
        <v>45451</v>
      </c>
      <c r="AC26" s="957"/>
      <c r="AD26" s="1135">
        <f>IF(AB26&lt;=150000,AB26,150000)+AB5</f>
        <v>45451</v>
      </c>
      <c r="AE26" s="1136"/>
      <c r="AF26" s="1137"/>
      <c r="AG26" s="17"/>
    </row>
    <row r="27" spans="1:34" ht="19.5" customHeight="1">
      <c r="A27" s="187">
        <v>3</v>
      </c>
      <c r="B27" s="296">
        <f t="shared" si="8"/>
        <v>42491</v>
      </c>
      <c r="C27" s="192">
        <f>IF('Emp.-Detail'!F10="yes",E11)+IF('Emp.-Detail'!F10="NO",0)</f>
        <v>0</v>
      </c>
      <c r="D27" s="192">
        <f>IF('Emp.-Detail'!F10="YES",K11)+IF('Emp.-Detail'!F10="NO",I11,0)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3500</v>
      </c>
      <c r="P27" s="192">
        <v>0</v>
      </c>
      <c r="Q27" s="297">
        <f t="shared" si="11"/>
        <v>7095</v>
      </c>
      <c r="R27" s="50"/>
      <c r="S27" s="1085" t="s">
        <v>592</v>
      </c>
      <c r="T27" s="1086"/>
      <c r="U27" s="1086"/>
      <c r="V27" s="1086"/>
      <c r="W27" s="1086"/>
      <c r="X27" s="1086"/>
      <c r="Y27" s="1086"/>
      <c r="Z27" s="1086"/>
      <c r="AA27" s="1086"/>
      <c r="AB27" s="1087">
        <f>AB5</f>
        <v>0</v>
      </c>
      <c r="AC27" s="1088"/>
      <c r="AD27" s="831">
        <f>AD15-(AD26+AB5)</f>
        <v>696689</v>
      </c>
      <c r="AE27" s="831"/>
      <c r="AF27" s="955"/>
      <c r="AG27" s="17"/>
    </row>
    <row r="28" spans="1:34" ht="19.5" customHeight="1">
      <c r="A28" s="187">
        <v>4</v>
      </c>
      <c r="B28" s="296">
        <f t="shared" si="8"/>
        <v>42522</v>
      </c>
      <c r="C28" s="192">
        <f>IF('Emp.-Detail'!F10="yes",E12)+IF('Emp.-Detail'!F10="NO",0)</f>
        <v>0</v>
      </c>
      <c r="D28" s="192">
        <f>IF('Emp.-Detail'!F10="YES",K12)+IF('Emp.-Detail'!F10="NO",I12,0)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3500</v>
      </c>
      <c r="P28" s="192">
        <v>0</v>
      </c>
      <c r="Q28" s="297">
        <f t="shared" si="11"/>
        <v>7095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IF('Emp.-Detail'!F10="yes",E13)+IF('Emp.-Detail'!F10="NO",0)</f>
        <v>0</v>
      </c>
      <c r="D29" s="192">
        <f>IF('Emp.-Detail'!F10="YES",K13)+IF('Emp.-Detail'!F10="NO",I13,0)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3500</v>
      </c>
      <c r="P29" s="192">
        <v>0</v>
      </c>
      <c r="Q29" s="297">
        <f t="shared" si="11"/>
        <v>7095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IF('Emp.-Detail'!F10="yes",E14)+IF('Emp.-Detail'!F10="NO",0)</f>
        <v>0</v>
      </c>
      <c r="D30" s="192">
        <f>IF('Emp.-Detail'!F10="YES",K14)+IF('Emp.-Detail'!F10="NO",J14,0)</f>
        <v>4683</v>
      </c>
      <c r="E30" s="195"/>
      <c r="F30" s="287">
        <f t="shared" si="9"/>
        <v>4683</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3500</v>
      </c>
      <c r="P30" s="192">
        <v>0</v>
      </c>
      <c r="Q30" s="297">
        <f t="shared" si="11"/>
        <v>11778</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IF('Emp.-Detail'!F10="yes",E15)+IF('Emp.-Detail'!F10="NO",0)</f>
        <v>0</v>
      </c>
      <c r="D31" s="192">
        <f>IF('Emp.-Detail'!F10="YES",K15)+IF('Emp.-Detail'!F10="NO",J15,0)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3500</v>
      </c>
      <c r="P31" s="192">
        <v>0</v>
      </c>
      <c r="Q31" s="297">
        <f t="shared" si="11"/>
        <v>7095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IF('Emp.-Detail'!F10="yes",E16)+IF('Emp.-Detail'!F10="NO",0)</f>
        <v>0</v>
      </c>
      <c r="D32" s="192">
        <f>IF('Emp.-Detail'!F10="YES",K16)+IF('Emp.-Detail'!F10="NO",J16,0)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3500</v>
      </c>
      <c r="P32" s="192">
        <v>0</v>
      </c>
      <c r="Q32" s="297">
        <f t="shared" si="11"/>
        <v>7095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IF('Emp.-Detail'!F10="yes",E17)+IF('Emp.-Detail'!F10="NO",0)</f>
        <v>0</v>
      </c>
      <c r="D33" s="192">
        <f>IF('Emp.-Detail'!F10="YES",K17)+IF('Emp.-Detail'!F10="NO",J17,0)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3500</v>
      </c>
      <c r="P33" s="192">
        <v>0</v>
      </c>
      <c r="Q33" s="297">
        <f t="shared" si="11"/>
        <v>7095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IF('Emp.-Detail'!F10="yes",E18)+IF('Emp.-Detail'!F10="NO",0)</f>
        <v>0</v>
      </c>
      <c r="D34" s="192">
        <f>IF('Emp.-Detail'!F10="YES",K18)+IF('Emp.-Detail'!F10="NO",J18,0)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3500</v>
      </c>
      <c r="P34" s="192">
        <v>0</v>
      </c>
      <c r="Q34" s="297">
        <f t="shared" si="11"/>
        <v>7095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IF('Emp.-Detail'!F10="yes",E19)+IF('Emp.-Detail'!F10="NO",0)</f>
        <v>0</v>
      </c>
      <c r="D35" s="192">
        <f>IF('Emp.-Detail'!F10="YES",K19)+IF('Emp.-Detail'!F10="NO",J19,0)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3500</v>
      </c>
      <c r="P35" s="192">
        <v>0</v>
      </c>
      <c r="Q35" s="297">
        <f t="shared" si="11"/>
        <v>7095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IF('Emp.-Detail'!F10="yes",E20)+IF('Emp.-Detail'!F10="NO",0)</f>
        <v>0</v>
      </c>
      <c r="D36" s="192">
        <f>IF('Emp.-Detail'!F10="YES",K20)+IF('Emp.-Detail'!F10="NO",J20,0)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3500</v>
      </c>
      <c r="P36" s="192">
        <v>0</v>
      </c>
      <c r="Q36" s="297">
        <f t="shared" si="11"/>
        <v>7095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9231</v>
      </c>
      <c r="E37" s="306"/>
      <c r="F37" s="307">
        <f t="shared" si="9"/>
        <v>9231</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42000</v>
      </c>
      <c r="P37" s="288">
        <f t="shared" si="12"/>
        <v>251.9</v>
      </c>
      <c r="Q37" s="305">
        <f t="shared" si="12"/>
        <v>94622.9</v>
      </c>
      <c r="R37" s="304"/>
      <c r="S37" s="1082" t="s">
        <v>597</v>
      </c>
      <c r="T37" s="1083"/>
      <c r="U37" s="1083"/>
      <c r="V37" s="1083"/>
      <c r="W37" s="1083"/>
      <c r="X37" s="1083"/>
      <c r="Y37" s="1083"/>
      <c r="Z37" s="1083"/>
      <c r="AA37" s="1083"/>
      <c r="AB37" s="831">
        <f>I51</f>
        <v>0</v>
      </c>
      <c r="AC37" s="832"/>
      <c r="AD37" s="941">
        <f>IF(AB37&lt;=10000,AB37,10000)</f>
        <v>0</v>
      </c>
      <c r="AE37" s="942"/>
      <c r="AF37" s="943"/>
      <c r="AG37" s="151"/>
    </row>
    <row r="38" spans="1:33" ht="19.5" customHeight="1">
      <c r="A38" s="999" t="s">
        <v>12</v>
      </c>
      <c r="B38" s="860"/>
      <c r="C38" s="1000">
        <f>Q21</f>
        <v>742140</v>
      </c>
      <c r="D38" s="860"/>
      <c r="E38" s="309"/>
      <c r="F38" s="310"/>
      <c r="G38" s="1001" t="s">
        <v>13</v>
      </c>
      <c r="H38" s="1001"/>
      <c r="I38" s="1001"/>
      <c r="J38" s="860">
        <f>Q37</f>
        <v>94622.9</v>
      </c>
      <c r="K38" s="860"/>
      <c r="L38" s="860"/>
      <c r="M38" s="310"/>
      <c r="N38" s="998" t="s">
        <v>15</v>
      </c>
      <c r="O38" s="998"/>
      <c r="P38" s="860">
        <f>Q21-Q37</f>
        <v>647517.1</v>
      </c>
      <c r="Q38" s="861"/>
      <c r="R38" s="304"/>
      <c r="S38" s="1079" t="s">
        <v>179</v>
      </c>
      <c r="T38" s="1067"/>
      <c r="U38" s="1067"/>
      <c r="V38" s="1067"/>
      <c r="W38" s="1067"/>
      <c r="X38" s="1067"/>
      <c r="Y38" s="1067"/>
      <c r="Z38" s="1067"/>
      <c r="AA38" s="1067"/>
      <c r="AB38" s="1067"/>
      <c r="AC38" s="1067"/>
      <c r="AD38" s="944">
        <f>SUM(AD29:AD37)</f>
        <v>0</v>
      </c>
      <c r="AE38" s="945"/>
      <c r="AF38" s="946"/>
      <c r="AG38" s="151"/>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696689</v>
      </c>
      <c r="AE39" s="949"/>
      <c r="AF39" s="950"/>
      <c r="AG39" s="151"/>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696690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64338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64338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1287</v>
      </c>
      <c r="V43" s="949"/>
      <c r="W43" s="949"/>
      <c r="X43" s="1067" t="s">
        <v>84</v>
      </c>
      <c r="Y43" s="1067"/>
      <c r="Z43" s="1067"/>
      <c r="AA43" s="953">
        <f>ROUND((AD42*1%),0)</f>
        <v>643</v>
      </c>
      <c r="AB43" s="953"/>
      <c r="AC43" s="953"/>
      <c r="AD43" s="951">
        <f>U43+AA43</f>
        <v>1930</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66268</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IF('Emp.-Detail'!F10="NO",0,ROUND(E21+K21,0))</f>
        <v>0</v>
      </c>
      <c r="Q46" s="943"/>
      <c r="R46" s="22"/>
      <c r="S46" s="1071" t="s">
        <v>87</v>
      </c>
      <c r="T46" s="1072"/>
      <c r="U46" s="1072"/>
      <c r="V46" s="1072"/>
      <c r="W46" s="1072"/>
      <c r="X46" s="1072"/>
      <c r="Y46" s="1072"/>
      <c r="Z46" s="1072"/>
      <c r="AA46" s="1072"/>
      <c r="AB46" s="1072"/>
      <c r="AC46" s="1072"/>
      <c r="AD46" s="796">
        <f>AD44-AD45</f>
        <v>66268</v>
      </c>
      <c r="AE46" s="860"/>
      <c r="AF46" s="861"/>
      <c r="AG46" s="17"/>
    </row>
    <row r="47" spans="1:33" s="50" customFormat="1" ht="19.5" customHeight="1">
      <c r="A47" s="871" t="s">
        <v>16</v>
      </c>
      <c r="B47" s="872"/>
      <c r="C47" s="872"/>
      <c r="D47" s="872"/>
      <c r="E47" s="872"/>
      <c r="F47" s="872"/>
      <c r="G47" s="872"/>
      <c r="H47" s="872"/>
      <c r="I47" s="872"/>
      <c r="J47" s="872"/>
      <c r="K47" s="212"/>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312"/>
      <c r="AG47" s="151"/>
    </row>
    <row r="48" spans="1:33" s="50" customFormat="1" ht="19.5" customHeight="1">
      <c r="A48" s="868" t="s">
        <v>187</v>
      </c>
      <c r="B48" s="869"/>
      <c r="C48" s="862">
        <v>0</v>
      </c>
      <c r="D48" s="864"/>
      <c r="E48" s="214"/>
      <c r="F48" s="828" t="s">
        <v>106</v>
      </c>
      <c r="G48" s="829"/>
      <c r="H48" s="824"/>
      <c r="I48" s="862">
        <v>0</v>
      </c>
      <c r="J48" s="863"/>
      <c r="K48" s="214"/>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313"/>
      <c r="AG48" s="151"/>
    </row>
    <row r="49" spans="1:35" ht="19.5" customHeight="1">
      <c r="A49" s="823" t="s">
        <v>78</v>
      </c>
      <c r="B49" s="824"/>
      <c r="C49" s="862">
        <v>0</v>
      </c>
      <c r="D49" s="864"/>
      <c r="E49" s="214"/>
      <c r="F49" s="828" t="s">
        <v>188</v>
      </c>
      <c r="G49" s="829"/>
      <c r="H49" s="824"/>
      <c r="I49" s="862">
        <v>0</v>
      </c>
      <c r="J49" s="863"/>
      <c r="K49" s="214"/>
      <c r="L49" s="1194" t="s">
        <v>194</v>
      </c>
      <c r="M49" s="1194"/>
      <c r="N49" s="1194"/>
      <c r="O49" s="1020">
        <v>0</v>
      </c>
      <c r="P49" s="1020"/>
      <c r="Q49" s="216">
        <v>0</v>
      </c>
      <c r="R49" s="176"/>
      <c r="S49" s="1080">
        <f>SUM(O25:O27)</f>
        <v>10500</v>
      </c>
      <c r="T49" s="1081"/>
      <c r="U49" s="1081"/>
      <c r="V49" s="1070">
        <f>SUM(O28:O30)</f>
        <v>10500</v>
      </c>
      <c r="W49" s="1070"/>
      <c r="X49" s="1070"/>
      <c r="Y49" s="1070">
        <f>SUM(O31:O33)</f>
        <v>10500</v>
      </c>
      <c r="Z49" s="1070"/>
      <c r="AA49" s="1070"/>
      <c r="AB49" s="951">
        <f>SUM(O34:O36)</f>
        <v>10500</v>
      </c>
      <c r="AC49" s="951"/>
      <c r="AD49" s="951"/>
      <c r="AE49" s="951"/>
      <c r="AF49" s="199"/>
      <c r="AG49" s="17"/>
    </row>
    <row r="50" spans="1:35" ht="19.5" customHeight="1">
      <c r="A50" s="823" t="s">
        <v>79</v>
      </c>
      <c r="B50" s="824"/>
      <c r="C50" s="1020">
        <v>0</v>
      </c>
      <c r="D50" s="1020"/>
      <c r="E50" s="210"/>
      <c r="F50" s="828" t="s">
        <v>81</v>
      </c>
      <c r="G50" s="829"/>
      <c r="H50" s="824"/>
      <c r="I50" s="1020">
        <v>0</v>
      </c>
      <c r="J50" s="862"/>
      <c r="K50" s="210"/>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42000</v>
      </c>
      <c r="AE50" s="796"/>
      <c r="AF50" s="797"/>
      <c r="AG50" s="17"/>
    </row>
    <row r="51" spans="1:35" ht="19.5" customHeight="1">
      <c r="A51" s="823" t="s">
        <v>80</v>
      </c>
      <c r="B51" s="824"/>
      <c r="C51" s="862">
        <v>0</v>
      </c>
      <c r="D51" s="864"/>
      <c r="E51" s="215"/>
      <c r="F51" s="828" t="s">
        <v>142</v>
      </c>
      <c r="G51" s="829"/>
      <c r="H51" s="824"/>
      <c r="I51" s="1020">
        <v>0</v>
      </c>
      <c r="J51" s="862"/>
      <c r="K51" s="210"/>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24268</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10"/>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10"/>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11"/>
      <c r="L55" s="1175" t="s">
        <v>198</v>
      </c>
      <c r="M55" s="1175"/>
      <c r="N55" s="1175"/>
      <c r="O55" s="1177">
        <v>0</v>
      </c>
      <c r="P55" s="1177"/>
      <c r="Q55" s="1023"/>
      <c r="R55" s="70"/>
      <c r="S55" s="1202"/>
      <c r="T55" s="1203"/>
      <c r="U55" s="1203"/>
      <c r="V55" s="1203"/>
      <c r="W55" s="765"/>
      <c r="X55" s="765"/>
      <c r="Y55" s="765"/>
      <c r="Z55" s="765"/>
      <c r="AA55" s="765"/>
      <c r="AB55" s="1203" t="str">
        <f>S3</f>
        <v>JAGADISH PRASAD CHOUHAN</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742140</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742140</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742140</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JAGADISH PRASAD CHOUHAN</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ABPPC0835K</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9414422048</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742140</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'Emp.-Detail'!O10</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9231</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181115</v>
      </c>
      <c r="K69" s="788"/>
      <c r="L69" s="788"/>
      <c r="M69" s="776"/>
      <c r="N69" s="775">
        <f>SUM(O25:O27)</f>
        <v>10500</v>
      </c>
      <c r="O69" s="776"/>
      <c r="P69" s="775">
        <f>N69</f>
        <v>10500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186338</v>
      </c>
      <c r="K70" s="788"/>
      <c r="L70" s="788"/>
      <c r="M70" s="776"/>
      <c r="N70" s="775">
        <f>SUM(O28:O30)</f>
        <v>10500</v>
      </c>
      <c r="O70" s="776"/>
      <c r="P70" s="775">
        <f>N70</f>
        <v>10500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186563</v>
      </c>
      <c r="K71" s="788"/>
      <c r="L71" s="788"/>
      <c r="M71" s="776"/>
      <c r="N71" s="775">
        <f>SUM(O31:O33)</f>
        <v>10500</v>
      </c>
      <c r="O71" s="776"/>
      <c r="P71" s="775">
        <f t="shared" ref="P71:P72" si="13">N71</f>
        <v>10500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188124</v>
      </c>
      <c r="K72" s="788"/>
      <c r="L72" s="788"/>
      <c r="M72" s="776"/>
      <c r="N72" s="775">
        <f>SUM(O34:O36)</f>
        <v>10500</v>
      </c>
      <c r="O72" s="776"/>
      <c r="P72" s="775">
        <f t="shared" si="13"/>
        <v>10500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742140</v>
      </c>
      <c r="K73" s="808"/>
      <c r="L73" s="808"/>
      <c r="M73" s="809"/>
      <c r="N73" s="845">
        <f>SUM(N69:N72)</f>
        <v>42000</v>
      </c>
      <c r="O73" s="809"/>
      <c r="P73" s="845">
        <f>SUM(P69:P72)</f>
        <v>42000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3500</v>
      </c>
      <c r="E76" s="219"/>
      <c r="F76" s="219">
        <f>O26</f>
        <v>3500</v>
      </c>
      <c r="G76" s="219">
        <f>O27</f>
        <v>3500</v>
      </c>
      <c r="H76" s="219">
        <f>O28</f>
        <v>3500</v>
      </c>
      <c r="I76" s="219">
        <f>O29</f>
        <v>3500</v>
      </c>
      <c r="J76" s="219">
        <f>O30</f>
        <v>3500</v>
      </c>
      <c r="K76" s="219"/>
      <c r="L76" s="219">
        <f>O31</f>
        <v>3500</v>
      </c>
      <c r="M76" s="219">
        <f>O32</f>
        <v>3500</v>
      </c>
      <c r="N76" s="219">
        <f>O33</f>
        <v>3500</v>
      </c>
      <c r="O76" s="219">
        <f>O34</f>
        <v>3500</v>
      </c>
      <c r="P76" s="219">
        <f>O35</f>
        <v>3500</v>
      </c>
      <c r="Q76" s="220">
        <f>O36</f>
        <v>3500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45451</v>
      </c>
      <c r="AC81" s="1113"/>
      <c r="AD81" s="773">
        <f>AD26</f>
        <v>45451</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'Emp.-Detail'!N10</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'Emp.-Detail'!N10</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'Emp.-Detail'!N10</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'Emp.-Detail'!J10</f>
        <v>0</v>
      </c>
      <c r="C87" s="788"/>
      <c r="D87" s="776"/>
      <c r="E87" s="257"/>
      <c r="F87" s="1233" t="str">
        <f>'Emp.-Detail'!K10</f>
        <v>0</v>
      </c>
      <c r="G87" s="791"/>
      <c r="H87" s="791"/>
      <c r="I87" s="792"/>
      <c r="J87" s="810" t="str">
        <f>'Emp.-Detail'!L10</f>
        <v>00/00/0000</v>
      </c>
      <c r="K87" s="811"/>
      <c r="L87" s="811"/>
      <c r="M87" s="812"/>
      <c r="N87" s="1233" t="str">
        <f>'Emp.-Detail'!M10</f>
        <v>00</v>
      </c>
      <c r="O87" s="792"/>
      <c r="P87" s="793" t="str">
        <f>'Emp.-Detail'!N10</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42000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FOURTY  TWO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45451</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696690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64338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1930</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66268</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66268</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742140</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742140</v>
      </c>
      <c r="P104" s="776"/>
      <c r="Q104" s="258">
        <f>O104</f>
        <v>742140</v>
      </c>
      <c r="R104" s="235"/>
      <c r="S104" s="254"/>
      <c r="T104" s="229" t="str">
        <f>'DDO '!L10</f>
        <v>PRINCIPAL</v>
      </c>
      <c r="U104" s="229"/>
      <c r="V104" s="780" t="s">
        <v>51</v>
      </c>
      <c r="W104" s="780"/>
      <c r="X104" s="780"/>
      <c r="Y104" s="780"/>
      <c r="Z104" s="770">
        <f>AD100</f>
        <v>66268</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SIXTY  SIX  Thousand  TWO  Hundred  SIXTY  EIGHT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742140</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742140</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742140</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51"/>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V25:W25"/>
    <mergeCell ref="X25:AC25"/>
    <mergeCell ref="AD25:AF25"/>
    <mergeCell ref="X23:AC23"/>
    <mergeCell ref="S26:AA26"/>
    <mergeCell ref="AB26:AC26"/>
    <mergeCell ref="S25:U25"/>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F50:H50"/>
    <mergeCell ref="F51:H51"/>
    <mergeCell ref="F52:J52"/>
    <mergeCell ref="A53:H53"/>
    <mergeCell ref="A54:H54"/>
    <mergeCell ref="A50:B50"/>
    <mergeCell ref="C50:D50"/>
    <mergeCell ref="I50:J50"/>
    <mergeCell ref="L50:N50"/>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D96:AE96"/>
    <mergeCell ref="A100:L100"/>
    <mergeCell ref="M100:N100"/>
    <mergeCell ref="O100:P103"/>
    <mergeCell ref="Q100:Q103"/>
    <mergeCell ref="S100:AC100"/>
    <mergeCell ref="AD100:AE100"/>
    <mergeCell ref="A101:L101"/>
    <mergeCell ref="M101:N101"/>
    <mergeCell ref="S101:AE101"/>
    <mergeCell ref="A102:L102"/>
    <mergeCell ref="M102:N102"/>
    <mergeCell ref="S102:AE102"/>
    <mergeCell ref="A103:L103"/>
    <mergeCell ref="M103:N103"/>
    <mergeCell ref="T103:V103"/>
    <mergeCell ref="W103:Y103"/>
    <mergeCell ref="Z103:AB103"/>
    <mergeCell ref="AC103:AE103"/>
    <mergeCell ref="O109:P109"/>
    <mergeCell ref="S109:T109"/>
    <mergeCell ref="U109:W109"/>
    <mergeCell ref="AA105:AE105"/>
    <mergeCell ref="A106:D106"/>
    <mergeCell ref="A104:L104"/>
    <mergeCell ref="AB112:AE112"/>
    <mergeCell ref="X109:AE110"/>
    <mergeCell ref="S107:AE108"/>
    <mergeCell ref="F108:G108"/>
    <mergeCell ref="F106:G106"/>
    <mergeCell ref="H106:L106"/>
    <mergeCell ref="T118:Y118"/>
    <mergeCell ref="O111:P111"/>
    <mergeCell ref="Z111:AE111"/>
    <mergeCell ref="A112:F112"/>
    <mergeCell ref="G112:I112"/>
    <mergeCell ref="J112:L112"/>
    <mergeCell ref="M112:N112"/>
    <mergeCell ref="O112:P112"/>
    <mergeCell ref="S112:U112"/>
    <mergeCell ref="V112:Y112"/>
    <mergeCell ref="Z112:AA112"/>
    <mergeCell ref="A110:C111"/>
    <mergeCell ref="D110:I110"/>
    <mergeCell ref="J110:L110"/>
    <mergeCell ref="M110:P110"/>
    <mergeCell ref="S110:T110"/>
    <mergeCell ref="U110:W110"/>
    <mergeCell ref="D111:I111"/>
    <mergeCell ref="J111:L111"/>
    <mergeCell ref="M111:N111"/>
    <mergeCell ref="Q105:Q112"/>
    <mergeCell ref="T105:Z105"/>
    <mergeCell ref="M108:N108"/>
    <mergeCell ref="A109:N109"/>
    <mergeCell ref="A1:D1"/>
    <mergeCell ref="T106:AE106"/>
    <mergeCell ref="A107:D107"/>
    <mergeCell ref="F107:G107"/>
    <mergeCell ref="H107:L108"/>
    <mergeCell ref="A108:D108"/>
    <mergeCell ref="M104:N107"/>
    <mergeCell ref="O104:P104"/>
    <mergeCell ref="V104:Y104"/>
    <mergeCell ref="Z104:AB104"/>
    <mergeCell ref="AC104:AE104"/>
    <mergeCell ref="A105:L105"/>
    <mergeCell ref="O105:P108"/>
    <mergeCell ref="A98:Q98"/>
    <mergeCell ref="S98:AC98"/>
    <mergeCell ref="AD98:AE98"/>
    <mergeCell ref="A99:Q99"/>
    <mergeCell ref="S99:AC99"/>
    <mergeCell ref="AD99:AE99"/>
    <mergeCell ref="A97:J97"/>
    <mergeCell ref="L97:M97"/>
    <mergeCell ref="N97:Q97"/>
    <mergeCell ref="S97:AC97"/>
    <mergeCell ref="AD97:AE97"/>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ignoredErrors>
    <ignoredError sqref="A2:AF8 A46:AF112 A45:E45 G45:AF45 A44:AF44 A43:E43 G43:AF43 A41:AF42 A40:E40 G40:AF40 A21:AF24 A17:U17 W17:AF17 A14:A16 A13:B13 D13:AF13 A10:A12 A9 C9:AF9 A18:A20 C18:AF20 C14:AF16 C10:AF12 A26:AF39 A25:M25 P25:AF25" unlockedFormula="1"/>
    <ignoredError sqref="C13" formula="1" unlockedFormula="1"/>
  </ignoredErrors>
</worksheet>
</file>

<file path=xl/worksheets/sheet7.xml><?xml version="1.0" encoding="utf-8"?>
<worksheet xmlns="http://schemas.openxmlformats.org/spreadsheetml/2006/main" xmlns:r="http://schemas.openxmlformats.org/officeDocument/2006/relationships">
  <dimension ref="A1:AJ150"/>
  <sheetViews>
    <sheetView view="pageBreakPreview" topLeftCell="A13" zoomScaleSheetLayoutView="100" workbookViewId="0">
      <selection activeCell="L25" sqref="L25"/>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s="50" customFormat="1"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G1" s="151"/>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40" t="str">
        <f>D4</f>
        <v>RAM PRASHAD SHARMA</v>
      </c>
      <c r="T3" s="1241"/>
      <c r="U3" s="1241"/>
      <c r="V3" s="1242"/>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'Emp.-Detail'!B11</f>
        <v>RAM PRASHAD SHARMA</v>
      </c>
      <c r="E4" s="949"/>
      <c r="F4" s="949"/>
      <c r="G4" s="949"/>
      <c r="H4" s="949"/>
      <c r="I4" s="854"/>
      <c r="J4" s="1185">
        <f>'Emp.-Detail'!A11</f>
        <v>3</v>
      </c>
      <c r="K4" s="1186"/>
      <c r="L4" s="1187"/>
      <c r="M4" s="982" t="s">
        <v>8</v>
      </c>
      <c r="N4" s="833"/>
      <c r="O4" s="833"/>
      <c r="P4" s="949" t="str">
        <f>'Emp.-Detail'!C11</f>
        <v>Lecturer</v>
      </c>
      <c r="Q4" s="950"/>
      <c r="R4" s="50"/>
      <c r="S4" s="963" t="str">
        <f>D5</f>
        <v>AGDPS0116J</v>
      </c>
      <c r="T4" s="855"/>
      <c r="U4" s="855"/>
      <c r="V4" s="964"/>
      <c r="W4" s="959" t="str">
        <f>'Emp.-Detail'!H11</f>
        <v>40750100002869</v>
      </c>
      <c r="X4" s="949"/>
      <c r="Y4" s="949"/>
      <c r="Z4" s="949"/>
      <c r="AA4" s="949" t="str">
        <f>'Emp.-Detail'!I11</f>
        <v>BRKGB, Sujangarh</v>
      </c>
      <c r="AB4" s="949"/>
      <c r="AC4" s="949"/>
      <c r="AD4" s="949"/>
      <c r="AE4" s="949"/>
      <c r="AF4" s="950"/>
      <c r="AG4" s="17"/>
    </row>
    <row r="5" spans="1:33" ht="19.5" customHeight="1" thickBot="1">
      <c r="A5" s="954" t="s">
        <v>135</v>
      </c>
      <c r="B5" s="833"/>
      <c r="C5" s="833"/>
      <c r="D5" s="949" t="str">
        <f>'Emp.-Detail'!D11</f>
        <v>AGDPS0116J</v>
      </c>
      <c r="E5" s="949"/>
      <c r="F5" s="949"/>
      <c r="G5" s="949"/>
      <c r="H5" s="949"/>
      <c r="I5" s="854"/>
      <c r="J5" s="1188"/>
      <c r="K5" s="1189"/>
      <c r="L5" s="1190"/>
      <c r="M5" s="982" t="s">
        <v>137</v>
      </c>
      <c r="N5" s="833"/>
      <c r="O5" s="833"/>
      <c r="P5" s="959">
        <f>'Emp.-Detail'!G11</f>
        <v>9001774423</v>
      </c>
      <c r="Q5" s="950"/>
      <c r="R5" s="50"/>
      <c r="S5" s="974" t="s">
        <v>203</v>
      </c>
      <c r="T5" s="975"/>
      <c r="U5" s="975"/>
      <c r="V5" s="975"/>
      <c r="W5" s="951">
        <f>SUM(Q9:Q20)</f>
        <v>755406</v>
      </c>
      <c r="X5" s="951"/>
      <c r="Y5" s="976" t="s">
        <v>202</v>
      </c>
      <c r="Z5" s="976"/>
      <c r="AA5" s="976"/>
      <c r="AB5" s="951">
        <f>P46</f>
        <v>0</v>
      </c>
      <c r="AC5" s="949"/>
      <c r="AD5" s="941">
        <f>W5+AB5</f>
        <v>755406</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755406</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755406</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755406</v>
      </c>
      <c r="AE8" s="942"/>
      <c r="AF8" s="943"/>
      <c r="AG8" s="17"/>
    </row>
    <row r="9" spans="1:33" ht="19.5" customHeight="1">
      <c r="A9" s="285">
        <v>1</v>
      </c>
      <c r="B9" s="286">
        <v>42430</v>
      </c>
      <c r="C9" s="190">
        <f>'Emp.-Detail'!E11</f>
        <v>24760</v>
      </c>
      <c r="D9" s="190">
        <f>ROUND(C9*119%,0)</f>
        <v>29464</v>
      </c>
      <c r="E9" s="191">
        <f>ROUND((C9+D9)*10%,0)</f>
        <v>5422</v>
      </c>
      <c r="F9" s="190">
        <f>ROUND(C9*10%,0)</f>
        <v>2476</v>
      </c>
      <c r="G9" s="190">
        <v>0</v>
      </c>
      <c r="H9" s="190">
        <v>0</v>
      </c>
      <c r="I9" s="192">
        <f>ROUND(C9*6%,0)*3</f>
        <v>4458</v>
      </c>
      <c r="J9" s="190">
        <v>0</v>
      </c>
      <c r="K9" s="190">
        <f>ROUND((I9+J9)*10%,0)</f>
        <v>446</v>
      </c>
      <c r="L9" s="190">
        <v>27855</v>
      </c>
      <c r="M9" s="190">
        <v>0</v>
      </c>
      <c r="N9" s="190">
        <v>0</v>
      </c>
      <c r="O9" s="190">
        <v>0</v>
      </c>
      <c r="P9" s="193">
        <v>0</v>
      </c>
      <c r="Q9" s="290">
        <f>C9+D9+F9+G9+H9+I9+J9+L9+M9+N9+O9</f>
        <v>89013</v>
      </c>
      <c r="R9" s="282"/>
      <c r="S9" s="984" t="s">
        <v>144</v>
      </c>
      <c r="T9" s="985"/>
      <c r="U9" s="985"/>
      <c r="V9" s="985"/>
      <c r="W9" s="985"/>
      <c r="X9" s="985"/>
      <c r="Y9" s="985"/>
      <c r="Z9" s="971" t="s">
        <v>18</v>
      </c>
      <c r="AA9" s="971"/>
      <c r="AB9" s="967">
        <f>O49</f>
        <v>0</v>
      </c>
      <c r="AC9" s="968"/>
      <c r="AD9" s="977">
        <f>AD8+AB9</f>
        <v>755406</v>
      </c>
      <c r="AE9" s="978"/>
      <c r="AF9" s="979"/>
      <c r="AG9" s="17"/>
    </row>
    <row r="10" spans="1:33" ht="19.5" customHeight="1">
      <c r="A10" s="187">
        <v>2</v>
      </c>
      <c r="B10" s="286">
        <v>42461</v>
      </c>
      <c r="C10" s="192">
        <f>C9</f>
        <v>24760</v>
      </c>
      <c r="D10" s="190">
        <f>ROUND(C10*125%,0)</f>
        <v>30950</v>
      </c>
      <c r="E10" s="191">
        <f t="shared" ref="E10:E20" si="0">ROUND((C10+D10)*10%,0)</f>
        <v>5571</v>
      </c>
      <c r="F10" s="190">
        <f t="shared" ref="F10:F20" si="1">ROUND(C10*10%,0)</f>
        <v>2476</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58186</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24760</v>
      </c>
      <c r="D11" s="190">
        <f t="shared" ref="D11:D15" si="4">ROUND(C11*125%,0)</f>
        <v>30950</v>
      </c>
      <c r="E11" s="191">
        <f t="shared" si="0"/>
        <v>5571</v>
      </c>
      <c r="F11" s="190">
        <f t="shared" si="1"/>
        <v>2476</v>
      </c>
      <c r="G11" s="192">
        <f t="shared" ref="G11:H20" si="5">G10</f>
        <v>0</v>
      </c>
      <c r="H11" s="192">
        <f t="shared" si="5"/>
        <v>0</v>
      </c>
      <c r="I11" s="192">
        <v>0</v>
      </c>
      <c r="J11" s="190">
        <v>0</v>
      </c>
      <c r="K11" s="190">
        <f t="shared" si="2"/>
        <v>0</v>
      </c>
      <c r="L11" s="190">
        <v>0</v>
      </c>
      <c r="M11" s="190">
        <v>0</v>
      </c>
      <c r="N11" s="190">
        <v>0</v>
      </c>
      <c r="O11" s="190">
        <v>0</v>
      </c>
      <c r="P11" s="193">
        <v>0</v>
      </c>
      <c r="Q11" s="290">
        <f t="shared" si="3"/>
        <v>58186</v>
      </c>
      <c r="R11" s="50"/>
      <c r="S11" s="292" t="s">
        <v>146</v>
      </c>
      <c r="T11" s="958">
        <f>O50</f>
        <v>0</v>
      </c>
      <c r="U11" s="948"/>
      <c r="V11" s="980">
        <f>O51</f>
        <v>0</v>
      </c>
      <c r="W11" s="958"/>
      <c r="X11" s="948"/>
      <c r="Y11" s="980">
        <f>Q49</f>
        <v>0</v>
      </c>
      <c r="Z11" s="958"/>
      <c r="AA11" s="948"/>
      <c r="AB11" s="980">
        <f>T11+V11+Y11</f>
        <v>0</v>
      </c>
      <c r="AC11" s="948"/>
      <c r="AD11" s="941">
        <f>AD9-AB11</f>
        <v>755406</v>
      </c>
      <c r="AE11" s="942"/>
      <c r="AF11" s="943"/>
      <c r="AG11" s="17"/>
    </row>
    <row r="12" spans="1:33" ht="19.5" customHeight="1">
      <c r="A12" s="187">
        <v>4</v>
      </c>
      <c r="B12" s="286">
        <v>42522</v>
      </c>
      <c r="C12" s="192">
        <f>C11</f>
        <v>24760</v>
      </c>
      <c r="D12" s="190">
        <f t="shared" si="4"/>
        <v>30950</v>
      </c>
      <c r="E12" s="191">
        <f t="shared" si="0"/>
        <v>5571</v>
      </c>
      <c r="F12" s="190">
        <f t="shared" si="1"/>
        <v>2476</v>
      </c>
      <c r="G12" s="192">
        <f t="shared" si="5"/>
        <v>0</v>
      </c>
      <c r="H12" s="192">
        <f t="shared" si="5"/>
        <v>0</v>
      </c>
      <c r="I12" s="192">
        <v>0</v>
      </c>
      <c r="J12" s="190">
        <v>0</v>
      </c>
      <c r="K12" s="190">
        <f t="shared" si="2"/>
        <v>0</v>
      </c>
      <c r="L12" s="190">
        <v>0</v>
      </c>
      <c r="M12" s="190">
        <v>0</v>
      </c>
      <c r="N12" s="190">
        <v>0</v>
      </c>
      <c r="O12" s="190">
        <v>0</v>
      </c>
      <c r="P12" s="193">
        <v>0</v>
      </c>
      <c r="Q12" s="290">
        <f t="shared" si="3"/>
        <v>58186</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25510</v>
      </c>
      <c r="D13" s="190">
        <f t="shared" si="4"/>
        <v>31888</v>
      </c>
      <c r="E13" s="191">
        <f t="shared" si="0"/>
        <v>5740</v>
      </c>
      <c r="F13" s="190">
        <f t="shared" si="1"/>
        <v>2551</v>
      </c>
      <c r="G13" s="192">
        <f t="shared" si="5"/>
        <v>0</v>
      </c>
      <c r="H13" s="192">
        <f t="shared" si="5"/>
        <v>0</v>
      </c>
      <c r="I13" s="192">
        <v>0</v>
      </c>
      <c r="J13" s="190">
        <v>0</v>
      </c>
      <c r="K13" s="190">
        <f t="shared" si="2"/>
        <v>0</v>
      </c>
      <c r="L13" s="190">
        <v>0</v>
      </c>
      <c r="M13" s="190">
        <v>0</v>
      </c>
      <c r="N13" s="190">
        <v>0</v>
      </c>
      <c r="O13" s="190">
        <v>0</v>
      </c>
      <c r="P13" s="193">
        <v>0</v>
      </c>
      <c r="Q13" s="290">
        <f t="shared" si="3"/>
        <v>59949</v>
      </c>
      <c r="R13" s="70"/>
      <c r="S13" s="991">
        <f>O52</f>
        <v>0</v>
      </c>
      <c r="T13" s="948"/>
      <c r="U13" s="980">
        <f>O53</f>
        <v>0</v>
      </c>
      <c r="V13" s="948"/>
      <c r="W13" s="980">
        <f>O54</f>
        <v>0</v>
      </c>
      <c r="X13" s="948"/>
      <c r="Y13" s="980">
        <f>O55</f>
        <v>0</v>
      </c>
      <c r="Z13" s="958"/>
      <c r="AA13" s="958"/>
      <c r="AB13" s="951">
        <f>SUM(S13:AA13)</f>
        <v>0</v>
      </c>
      <c r="AC13" s="951"/>
      <c r="AD13" s="941">
        <f>AD11+AB13</f>
        <v>755406</v>
      </c>
      <c r="AE13" s="965"/>
      <c r="AF13" s="966"/>
      <c r="AG13" s="17"/>
    </row>
    <row r="14" spans="1:33" ht="19.5" customHeight="1">
      <c r="A14" s="187">
        <v>6</v>
      </c>
      <c r="B14" s="286">
        <v>42583</v>
      </c>
      <c r="C14" s="192">
        <f t="shared" ref="C14:C20" si="6">C13</f>
        <v>25510</v>
      </c>
      <c r="D14" s="190">
        <f>ROUND(C14*125%,0)</f>
        <v>31888</v>
      </c>
      <c r="E14" s="191">
        <f t="shared" si="0"/>
        <v>5740</v>
      </c>
      <c r="F14" s="190">
        <f t="shared" si="1"/>
        <v>2551</v>
      </c>
      <c r="G14" s="192">
        <f t="shared" si="5"/>
        <v>0</v>
      </c>
      <c r="H14" s="192">
        <f t="shared" si="5"/>
        <v>0</v>
      </c>
      <c r="I14" s="192">
        <v>0</v>
      </c>
      <c r="J14" s="192">
        <f>ROUND(C13*6%,0)*3</f>
        <v>4593</v>
      </c>
      <c r="K14" s="190">
        <f t="shared" si="2"/>
        <v>459</v>
      </c>
      <c r="L14" s="190">
        <v>0</v>
      </c>
      <c r="M14" s="190">
        <v>0</v>
      </c>
      <c r="N14" s="190">
        <v>0</v>
      </c>
      <c r="O14" s="190">
        <v>0</v>
      </c>
      <c r="P14" s="193">
        <v>0</v>
      </c>
      <c r="Q14" s="290">
        <f t="shared" si="3"/>
        <v>64542</v>
      </c>
      <c r="R14" s="50"/>
      <c r="S14" s="954" t="s">
        <v>19</v>
      </c>
      <c r="T14" s="833"/>
      <c r="U14" s="833"/>
      <c r="V14" s="833"/>
      <c r="W14" s="833"/>
      <c r="X14" s="833"/>
      <c r="Y14" s="833"/>
      <c r="Z14" s="833"/>
      <c r="AA14" s="951">
        <f>I55</f>
        <v>0</v>
      </c>
      <c r="AB14" s="951"/>
      <c r="AC14" s="951"/>
      <c r="AD14" s="941">
        <f>AD13+AA14</f>
        <v>755406</v>
      </c>
      <c r="AE14" s="942"/>
      <c r="AF14" s="943"/>
      <c r="AG14" s="17"/>
    </row>
    <row r="15" spans="1:33" ht="19.5" customHeight="1">
      <c r="A15" s="187">
        <v>7</v>
      </c>
      <c r="B15" s="286">
        <v>42614</v>
      </c>
      <c r="C15" s="192">
        <f t="shared" si="6"/>
        <v>25510</v>
      </c>
      <c r="D15" s="190">
        <f t="shared" si="4"/>
        <v>31888</v>
      </c>
      <c r="E15" s="191">
        <f t="shared" si="0"/>
        <v>5740</v>
      </c>
      <c r="F15" s="190">
        <f t="shared" si="1"/>
        <v>2551</v>
      </c>
      <c r="G15" s="192">
        <f t="shared" si="5"/>
        <v>0</v>
      </c>
      <c r="H15" s="192">
        <f t="shared" si="5"/>
        <v>0</v>
      </c>
      <c r="I15" s="192">
        <v>0</v>
      </c>
      <c r="J15" s="192">
        <v>0</v>
      </c>
      <c r="K15" s="190">
        <f t="shared" si="2"/>
        <v>0</v>
      </c>
      <c r="L15" s="190">
        <v>0</v>
      </c>
      <c r="M15" s="190">
        <v>0</v>
      </c>
      <c r="N15" s="190">
        <v>0</v>
      </c>
      <c r="O15" s="190">
        <v>0</v>
      </c>
      <c r="P15" s="193">
        <v>0</v>
      </c>
      <c r="Q15" s="290">
        <f t="shared" si="3"/>
        <v>59949</v>
      </c>
      <c r="R15" s="50"/>
      <c r="S15" s="992" t="s">
        <v>20</v>
      </c>
      <c r="T15" s="993"/>
      <c r="U15" s="993"/>
      <c r="V15" s="993"/>
      <c r="W15" s="993"/>
      <c r="X15" s="993"/>
      <c r="Y15" s="993"/>
      <c r="Z15" s="993"/>
      <c r="AA15" s="993"/>
      <c r="AB15" s="993"/>
      <c r="AC15" s="993"/>
      <c r="AD15" s="941">
        <f>AD14</f>
        <v>755406</v>
      </c>
      <c r="AE15" s="942"/>
      <c r="AF15" s="943"/>
      <c r="AG15" s="17"/>
    </row>
    <row r="16" spans="1:33" ht="19.5" customHeight="1">
      <c r="A16" s="187">
        <v>8</v>
      </c>
      <c r="B16" s="286">
        <v>42644</v>
      </c>
      <c r="C16" s="192">
        <f t="shared" si="6"/>
        <v>25510</v>
      </c>
      <c r="D16" s="190">
        <f>ROUND(C16*131%,0)</f>
        <v>33418</v>
      </c>
      <c r="E16" s="191">
        <f t="shared" si="0"/>
        <v>5893</v>
      </c>
      <c r="F16" s="190">
        <f t="shared" si="1"/>
        <v>2551</v>
      </c>
      <c r="G16" s="192">
        <f t="shared" si="5"/>
        <v>0</v>
      </c>
      <c r="H16" s="192">
        <f t="shared" si="5"/>
        <v>0</v>
      </c>
      <c r="I16" s="192">
        <v>0</v>
      </c>
      <c r="J16" s="192">
        <v>0</v>
      </c>
      <c r="K16" s="190">
        <f t="shared" si="2"/>
        <v>0</v>
      </c>
      <c r="L16" s="190">
        <v>0</v>
      </c>
      <c r="M16" s="190">
        <v>0</v>
      </c>
      <c r="N16" s="190">
        <v>0</v>
      </c>
      <c r="O16" s="190">
        <v>0</v>
      </c>
      <c r="P16" s="193">
        <v>0</v>
      </c>
      <c r="Q16" s="290">
        <f t="shared" si="3"/>
        <v>61479</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25510</v>
      </c>
      <c r="D17" s="190">
        <f>ROUND(C17*131%,0)</f>
        <v>33418</v>
      </c>
      <c r="E17" s="191">
        <f t="shared" si="0"/>
        <v>5893</v>
      </c>
      <c r="F17" s="190">
        <f t="shared" si="1"/>
        <v>2551</v>
      </c>
      <c r="G17" s="192">
        <f t="shared" si="5"/>
        <v>0</v>
      </c>
      <c r="H17" s="192">
        <f t="shared" si="5"/>
        <v>0</v>
      </c>
      <c r="I17" s="192">
        <v>0</v>
      </c>
      <c r="J17" s="192">
        <v>0</v>
      </c>
      <c r="K17" s="190">
        <f t="shared" si="2"/>
        <v>0</v>
      </c>
      <c r="L17" s="190">
        <v>0</v>
      </c>
      <c r="M17" s="190">
        <v>0</v>
      </c>
      <c r="N17" s="190">
        <v>0</v>
      </c>
      <c r="O17" s="190">
        <v>0</v>
      </c>
      <c r="P17" s="193">
        <v>0</v>
      </c>
      <c r="Q17" s="290">
        <f t="shared" si="3"/>
        <v>61479</v>
      </c>
      <c r="R17" s="50"/>
      <c r="S17" s="954" t="s">
        <v>157</v>
      </c>
      <c r="T17" s="833"/>
      <c r="U17" s="833"/>
      <c r="V17" s="951">
        <f>IF('Emp.-Detail'!F11="NO",F37,0)</f>
        <v>9051</v>
      </c>
      <c r="W17" s="951"/>
      <c r="X17" s="833" t="s">
        <v>167</v>
      </c>
      <c r="Y17" s="833"/>
      <c r="Z17" s="833"/>
      <c r="AA17" s="833"/>
      <c r="AB17" s="833"/>
      <c r="AC17" s="833"/>
      <c r="AD17" s="831">
        <f>F45</f>
        <v>0</v>
      </c>
      <c r="AE17" s="831"/>
      <c r="AF17" s="955"/>
      <c r="AG17" s="17"/>
    </row>
    <row r="18" spans="1:34" ht="19.5" customHeight="1">
      <c r="A18" s="187">
        <v>10</v>
      </c>
      <c r="B18" s="286">
        <v>42705</v>
      </c>
      <c r="C18" s="192">
        <f t="shared" si="6"/>
        <v>25510</v>
      </c>
      <c r="D18" s="190">
        <f>ROUND(C18*131%,0)</f>
        <v>33418</v>
      </c>
      <c r="E18" s="191">
        <f t="shared" si="0"/>
        <v>5893</v>
      </c>
      <c r="F18" s="190">
        <f t="shared" si="1"/>
        <v>2551</v>
      </c>
      <c r="G18" s="192">
        <f t="shared" si="5"/>
        <v>0</v>
      </c>
      <c r="H18" s="192">
        <f t="shared" si="5"/>
        <v>0</v>
      </c>
      <c r="I18" s="192">
        <v>0</v>
      </c>
      <c r="J18" s="192">
        <v>0</v>
      </c>
      <c r="K18" s="190">
        <f t="shared" si="2"/>
        <v>0</v>
      </c>
      <c r="L18" s="190">
        <v>0</v>
      </c>
      <c r="M18" s="190">
        <v>0</v>
      </c>
      <c r="N18" s="190">
        <v>0</v>
      </c>
      <c r="O18" s="190">
        <v>0</v>
      </c>
      <c r="P18" s="193">
        <v>0</v>
      </c>
      <c r="Q18" s="290">
        <f t="shared" si="3"/>
        <v>61479</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25510</v>
      </c>
      <c r="D19" s="190">
        <f>ROUND(C19*131%,0)</f>
        <v>33418</v>
      </c>
      <c r="E19" s="191">
        <f t="shared" si="0"/>
        <v>5893</v>
      </c>
      <c r="F19" s="190">
        <f t="shared" si="1"/>
        <v>2551</v>
      </c>
      <c r="G19" s="192">
        <f t="shared" si="5"/>
        <v>0</v>
      </c>
      <c r="H19" s="192">
        <f t="shared" si="5"/>
        <v>0</v>
      </c>
      <c r="I19" s="192">
        <v>0</v>
      </c>
      <c r="J19" s="192">
        <v>0</v>
      </c>
      <c r="K19" s="190">
        <f t="shared" si="2"/>
        <v>0</v>
      </c>
      <c r="L19" s="190">
        <v>0</v>
      </c>
      <c r="M19" s="190">
        <v>0</v>
      </c>
      <c r="N19" s="190">
        <v>0</v>
      </c>
      <c r="O19" s="190">
        <v>0</v>
      </c>
      <c r="P19" s="193">
        <v>0</v>
      </c>
      <c r="Q19" s="290">
        <f t="shared" si="3"/>
        <v>61479</v>
      </c>
      <c r="R19" s="50"/>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25510</v>
      </c>
      <c r="D20" s="190">
        <f>ROUND(C20*131%,0)</f>
        <v>33418</v>
      </c>
      <c r="E20" s="191">
        <f t="shared" si="0"/>
        <v>5893</v>
      </c>
      <c r="F20" s="190">
        <f t="shared" si="1"/>
        <v>2551</v>
      </c>
      <c r="G20" s="192">
        <f t="shared" si="5"/>
        <v>0</v>
      </c>
      <c r="H20" s="192">
        <f t="shared" si="5"/>
        <v>0</v>
      </c>
      <c r="I20" s="192">
        <v>0</v>
      </c>
      <c r="J20" s="192">
        <v>0</v>
      </c>
      <c r="K20" s="190">
        <f t="shared" si="2"/>
        <v>0</v>
      </c>
      <c r="L20" s="190">
        <v>0</v>
      </c>
      <c r="M20" s="190">
        <v>0</v>
      </c>
      <c r="N20" s="190">
        <v>0</v>
      </c>
      <c r="O20" s="190">
        <v>0</v>
      </c>
      <c r="P20" s="193">
        <v>0</v>
      </c>
      <c r="Q20" s="290">
        <f t="shared" si="3"/>
        <v>61479</v>
      </c>
      <c r="R20" s="50"/>
      <c r="S20" s="954" t="s">
        <v>160</v>
      </c>
      <c r="T20" s="833"/>
      <c r="U20" s="833"/>
      <c r="V20" s="951">
        <f>'Emp.-Detail'!AB9</f>
        <v>220</v>
      </c>
      <c r="W20" s="951"/>
      <c r="X20" s="833" t="s">
        <v>170</v>
      </c>
      <c r="Y20" s="833"/>
      <c r="Z20" s="833"/>
      <c r="AA20" s="833"/>
      <c r="AB20" s="833"/>
      <c r="AC20" s="833"/>
      <c r="AD20" s="831">
        <f>P41</f>
        <v>0</v>
      </c>
      <c r="AE20" s="831"/>
      <c r="AF20" s="955"/>
      <c r="AG20" s="17"/>
    </row>
    <row r="21" spans="1:34" s="50" customFormat="1" ht="19.5" customHeight="1">
      <c r="A21" s="1004" t="s">
        <v>3</v>
      </c>
      <c r="B21" s="1012"/>
      <c r="C21" s="287">
        <f t="shared" ref="C21:N21" si="7">SUM(C9:C20)</f>
        <v>303120</v>
      </c>
      <c r="D21" s="287">
        <f>SUM(D9:D20)</f>
        <v>385068</v>
      </c>
      <c r="E21" s="288">
        <f>SUM(E9:E20)</f>
        <v>68820</v>
      </c>
      <c r="F21" s="287">
        <f>SUM(F9:F20)</f>
        <v>30312</v>
      </c>
      <c r="G21" s="287">
        <f t="shared" si="7"/>
        <v>0</v>
      </c>
      <c r="H21" s="287">
        <f>SUM(H9:H20)</f>
        <v>0</v>
      </c>
      <c r="I21" s="287">
        <f t="shared" si="7"/>
        <v>4458</v>
      </c>
      <c r="J21" s="287">
        <f t="shared" si="7"/>
        <v>4593</v>
      </c>
      <c r="K21" s="287">
        <f>SUM(K9:K20)</f>
        <v>905</v>
      </c>
      <c r="L21" s="287">
        <f t="shared" si="7"/>
        <v>27855</v>
      </c>
      <c r="M21" s="287">
        <f t="shared" si="7"/>
        <v>0</v>
      </c>
      <c r="N21" s="287">
        <f t="shared" si="7"/>
        <v>0</v>
      </c>
      <c r="O21" s="287">
        <f>SUM(O9:O20)</f>
        <v>0</v>
      </c>
      <c r="P21" s="289">
        <f>SUM(P9:P20)</f>
        <v>0</v>
      </c>
      <c r="Q21" s="84">
        <f>SUM(Q9:Q20)</f>
        <v>755406</v>
      </c>
      <c r="S21" s="954" t="s">
        <v>161</v>
      </c>
      <c r="T21" s="833"/>
      <c r="U21" s="833"/>
      <c r="V21" s="951">
        <f>F40</f>
        <v>0</v>
      </c>
      <c r="W21" s="951"/>
      <c r="X21" s="833" t="s">
        <v>171</v>
      </c>
      <c r="Y21" s="833"/>
      <c r="Z21" s="833"/>
      <c r="AA21" s="833"/>
      <c r="AB21" s="833"/>
      <c r="AC21" s="833"/>
      <c r="AD21" s="831">
        <f>P42</f>
        <v>0</v>
      </c>
      <c r="AE21" s="831"/>
      <c r="AF21" s="955"/>
      <c r="AG21" s="151"/>
    </row>
    <row r="22" spans="1:34" s="50" customFormat="1" ht="19.5" customHeight="1">
      <c r="A22" s="1162" t="s">
        <v>14</v>
      </c>
      <c r="B22" s="1006"/>
      <c r="C22" s="1006"/>
      <c r="D22" s="1006"/>
      <c r="E22" s="1006"/>
      <c r="F22" s="1006"/>
      <c r="G22" s="1006"/>
      <c r="H22" s="1006"/>
      <c r="I22" s="1006"/>
      <c r="J22" s="1006"/>
      <c r="K22" s="1006"/>
      <c r="L22" s="1006"/>
      <c r="M22" s="1006"/>
      <c r="N22" s="1006"/>
      <c r="O22" s="1006"/>
      <c r="P22" s="1006"/>
      <c r="Q22" s="1163"/>
      <c r="S22" s="954" t="s">
        <v>162</v>
      </c>
      <c r="T22" s="833"/>
      <c r="U22" s="833"/>
      <c r="V22" s="951">
        <f>F41</f>
        <v>0</v>
      </c>
      <c r="W22" s="951"/>
      <c r="X22" s="833" t="s">
        <v>172</v>
      </c>
      <c r="Y22" s="833"/>
      <c r="Z22" s="833"/>
      <c r="AA22" s="833"/>
      <c r="AB22" s="833"/>
      <c r="AC22" s="833"/>
      <c r="AD22" s="831">
        <f>P44</f>
        <v>0</v>
      </c>
      <c r="AE22" s="831"/>
      <c r="AF22" s="955"/>
      <c r="AG22" s="151"/>
    </row>
    <row r="23" spans="1:34" s="50" customFormat="1"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S23" s="954" t="s">
        <v>163</v>
      </c>
      <c r="T23" s="833"/>
      <c r="U23" s="833"/>
      <c r="V23" s="951">
        <f>F42</f>
        <v>0</v>
      </c>
      <c r="W23" s="951"/>
      <c r="X23" s="833" t="s">
        <v>173</v>
      </c>
      <c r="Y23" s="833"/>
      <c r="Z23" s="833"/>
      <c r="AA23" s="833"/>
      <c r="AB23" s="833"/>
      <c r="AC23" s="833"/>
      <c r="AD23" s="831">
        <f>P43</f>
        <v>0</v>
      </c>
      <c r="AE23" s="831"/>
      <c r="AF23" s="955"/>
      <c r="AG23" s="151"/>
    </row>
    <row r="24" spans="1:34" s="50" customFormat="1" ht="19.5" customHeight="1">
      <c r="A24" s="1147"/>
      <c r="B24" s="1149"/>
      <c r="C24" s="1151"/>
      <c r="D24" s="1016"/>
      <c r="E24" s="295"/>
      <c r="F24" s="1153"/>
      <c r="G24" s="1155"/>
      <c r="H24" s="1153"/>
      <c r="I24" s="1155"/>
      <c r="J24" s="1155"/>
      <c r="K24" s="284"/>
      <c r="L24" s="1157"/>
      <c r="M24" s="1016"/>
      <c r="N24" s="1009"/>
      <c r="O24" s="1018"/>
      <c r="P24" s="1003"/>
      <c r="Q24" s="1011"/>
      <c r="S24" s="954" t="s">
        <v>164</v>
      </c>
      <c r="T24" s="833"/>
      <c r="U24" s="833"/>
      <c r="V24" s="951">
        <f>F43</f>
        <v>0</v>
      </c>
      <c r="W24" s="951"/>
      <c r="X24" s="956" t="s">
        <v>174</v>
      </c>
      <c r="Y24" s="956"/>
      <c r="Z24" s="956"/>
      <c r="AA24" s="956"/>
      <c r="AB24" s="956"/>
      <c r="AC24" s="956"/>
      <c r="AD24" s="831">
        <f>P45</f>
        <v>0</v>
      </c>
      <c r="AE24" s="831"/>
      <c r="AF24" s="955"/>
      <c r="AG24" s="151"/>
      <c r="AH24" s="70"/>
    </row>
    <row r="25" spans="1:34" ht="19.5" customHeight="1">
      <c r="A25" s="187">
        <v>1</v>
      </c>
      <c r="B25" s="296">
        <f>B9</f>
        <v>42430</v>
      </c>
      <c r="C25" s="192">
        <f>IF('Emp.-Detail'!F11="yes",E9)+IF('Emp.-Detail'!F11="NO",0)</f>
        <v>0</v>
      </c>
      <c r="D25" s="192">
        <f>IF('Emp.-Detail'!F11="YES",K9)+IF('Emp.-Detail'!F11="NO",I9,0)</f>
        <v>4458</v>
      </c>
      <c r="E25" s="195"/>
      <c r="F25" s="287">
        <f>SUM(C25:D25)</f>
        <v>4458</v>
      </c>
      <c r="G25" s="192">
        <v>0</v>
      </c>
      <c r="H25" s="194">
        <v>0</v>
      </c>
      <c r="I25" s="192">
        <v>3000</v>
      </c>
      <c r="J25" s="195">
        <v>0</v>
      </c>
      <c r="K25" s="195"/>
      <c r="L25" s="195">
        <v>0</v>
      </c>
      <c r="M25" s="196">
        <v>595</v>
      </c>
      <c r="N25" s="196">
        <v>0</v>
      </c>
      <c r="O25" s="196">
        <v>2000</v>
      </c>
      <c r="P25" s="192">
        <v>0</v>
      </c>
      <c r="Q25" s="297">
        <f>SUM(F25:P25)</f>
        <v>10053</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IF('Emp.-Detail'!F11="yes",E10)+IF('Emp.-Detail'!F11="NO",0)</f>
        <v>0</v>
      </c>
      <c r="D26" s="192">
        <f>IF('Emp.-Detail'!F11="YES",K10)+IF('Emp.-Detail'!F11="NO",I10,0)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2000</v>
      </c>
      <c r="P26" s="194">
        <f>'Emp.-Detail'!AB9+'Emp.-Detail'!AB9*14.5%</f>
        <v>251.9</v>
      </c>
      <c r="Q26" s="297">
        <f t="shared" ref="Q26:Q36" si="11">SUM(F26:P26)</f>
        <v>5846.9</v>
      </c>
      <c r="R26" s="50"/>
      <c r="S26" s="1089" t="s">
        <v>279</v>
      </c>
      <c r="T26" s="1090"/>
      <c r="U26" s="1090"/>
      <c r="V26" s="1090"/>
      <c r="W26" s="1090"/>
      <c r="X26" s="1090"/>
      <c r="Y26" s="1090"/>
      <c r="Z26" s="1090"/>
      <c r="AA26" s="1091"/>
      <c r="AB26" s="942">
        <f>SUM(V17:V25)+SUM(AD17:AD25)</f>
        <v>45271</v>
      </c>
      <c r="AC26" s="957"/>
      <c r="AD26" s="1135">
        <f>IF(AB26&lt;=150000,AB26,150000)+AB5</f>
        <v>45271</v>
      </c>
      <c r="AE26" s="1136"/>
      <c r="AF26" s="1137"/>
      <c r="AG26" s="17"/>
    </row>
    <row r="27" spans="1:34" ht="19.5" customHeight="1">
      <c r="A27" s="187">
        <v>3</v>
      </c>
      <c r="B27" s="296">
        <f t="shared" si="8"/>
        <v>42491</v>
      </c>
      <c r="C27" s="192">
        <f>IF('Emp.-Detail'!F11="yes",E11)+IF('Emp.-Detail'!F11="NO",0)</f>
        <v>0</v>
      </c>
      <c r="D27" s="192">
        <f>IF('Emp.-Detail'!F11="YES",K11)+IF('Emp.-Detail'!F11="NO",I11,0)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f t="shared" si="10"/>
        <v>2000</v>
      </c>
      <c r="P27" s="192">
        <v>0</v>
      </c>
      <c r="Q27" s="297">
        <f t="shared" si="11"/>
        <v>5595</v>
      </c>
      <c r="R27" s="50"/>
      <c r="S27" s="1085" t="s">
        <v>592</v>
      </c>
      <c r="T27" s="1086"/>
      <c r="U27" s="1086"/>
      <c r="V27" s="1086"/>
      <c r="W27" s="1086"/>
      <c r="X27" s="1086"/>
      <c r="Y27" s="1086"/>
      <c r="Z27" s="1086"/>
      <c r="AA27" s="1086"/>
      <c r="AB27" s="1087">
        <f>AB5</f>
        <v>0</v>
      </c>
      <c r="AC27" s="1088"/>
      <c r="AD27" s="831">
        <f>AD15-(AD26+AB5)</f>
        <v>710135</v>
      </c>
      <c r="AE27" s="831"/>
      <c r="AF27" s="955"/>
      <c r="AG27" s="17"/>
    </row>
    <row r="28" spans="1:34" ht="19.5" customHeight="1">
      <c r="A28" s="187">
        <v>4</v>
      </c>
      <c r="B28" s="296">
        <f t="shared" si="8"/>
        <v>42522</v>
      </c>
      <c r="C28" s="192">
        <f>IF('Emp.-Detail'!F11="yes",E12)+IF('Emp.-Detail'!F11="NO",0)</f>
        <v>0</v>
      </c>
      <c r="D28" s="192">
        <f>IF('Emp.-Detail'!F11="YES",K12)+IF('Emp.-Detail'!F11="NO",I12,0)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2000</v>
      </c>
      <c r="P28" s="192">
        <v>0</v>
      </c>
      <c r="Q28" s="297">
        <f t="shared" si="11"/>
        <v>5595</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IF('Emp.-Detail'!F11="yes",E13)+IF('Emp.-Detail'!F11="NO",0)</f>
        <v>0</v>
      </c>
      <c r="D29" s="192">
        <f>IF('Emp.-Detail'!F11="YES",K13)+IF('Emp.-Detail'!F11="NO",I13,0)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2000</v>
      </c>
      <c r="P29" s="192">
        <v>0</v>
      </c>
      <c r="Q29" s="297">
        <f t="shared" si="11"/>
        <v>5595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IF('Emp.-Detail'!F11="yes",E14)+IF('Emp.-Detail'!F11="NO",0)</f>
        <v>0</v>
      </c>
      <c r="D30" s="192">
        <f>IF('Emp.-Detail'!F11="YES",K14)+IF('Emp.-Detail'!F11="NO",J14,0)</f>
        <v>4593</v>
      </c>
      <c r="E30" s="195"/>
      <c r="F30" s="287">
        <f t="shared" si="9"/>
        <v>4593</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2000</v>
      </c>
      <c r="P30" s="192">
        <v>0</v>
      </c>
      <c r="Q30" s="297">
        <f t="shared" si="11"/>
        <v>10188</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IF('Emp.-Detail'!F11="yes",E15)+IF('Emp.-Detail'!F11="NO",0)</f>
        <v>0</v>
      </c>
      <c r="D31" s="192">
        <f>IF('Emp.-Detail'!F11="YES",K15)+IF('Emp.-Detail'!F11="NO",J15,0)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2000</v>
      </c>
      <c r="P31" s="192">
        <v>0</v>
      </c>
      <c r="Q31" s="297">
        <f t="shared" si="11"/>
        <v>5595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IF('Emp.-Detail'!F11="yes",E16)+IF('Emp.-Detail'!F11="NO",0)</f>
        <v>0</v>
      </c>
      <c r="D32" s="192">
        <f>IF('Emp.-Detail'!F11="YES",K16)+IF('Emp.-Detail'!F11="NO",J16,0)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2000</v>
      </c>
      <c r="P32" s="192">
        <v>0</v>
      </c>
      <c r="Q32" s="297">
        <f t="shared" si="11"/>
        <v>5595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IF('Emp.-Detail'!F11="yes",E17)+IF('Emp.-Detail'!F11="NO",0)</f>
        <v>0</v>
      </c>
      <c r="D33" s="192">
        <f>IF('Emp.-Detail'!F11="YES",K17)+IF('Emp.-Detail'!F11="NO",J17,0)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2000</v>
      </c>
      <c r="P33" s="192">
        <v>0</v>
      </c>
      <c r="Q33" s="297">
        <f t="shared" si="11"/>
        <v>5595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IF('Emp.-Detail'!F11="yes",E18)+IF('Emp.-Detail'!F11="NO",0)</f>
        <v>0</v>
      </c>
      <c r="D34" s="192">
        <f>IF('Emp.-Detail'!F11="YES",K18)+IF('Emp.-Detail'!F11="NO",J18,0)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2000</v>
      </c>
      <c r="P34" s="192">
        <v>0</v>
      </c>
      <c r="Q34" s="297">
        <f t="shared" si="11"/>
        <v>5595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IF('Emp.-Detail'!F11="yes",E19)+IF('Emp.-Detail'!F11="NO",0)</f>
        <v>0</v>
      </c>
      <c r="D35" s="192">
        <f>IF('Emp.-Detail'!F11="YES",K19)+IF('Emp.-Detail'!F11="NO",J19,0)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2000</v>
      </c>
      <c r="P35" s="192">
        <v>0</v>
      </c>
      <c r="Q35" s="297">
        <f t="shared" si="11"/>
        <v>5595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IF('Emp.-Detail'!F11="yes",E20)+IF('Emp.-Detail'!F11="NO",0)</f>
        <v>0</v>
      </c>
      <c r="D36" s="192">
        <f>IF('Emp.-Detail'!F11="YES",K20)+IF('Emp.-Detail'!F11="NO",J20,0)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2000</v>
      </c>
      <c r="P36" s="192">
        <v>0</v>
      </c>
      <c r="Q36" s="297">
        <f t="shared" si="11"/>
        <v>5595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s="50" customFormat="1" ht="19.5" customHeight="1">
      <c r="A37" s="1013" t="s">
        <v>2</v>
      </c>
      <c r="B37" s="1014"/>
      <c r="C37" s="287">
        <f>SUM(C25:C36)</f>
        <v>0</v>
      </c>
      <c r="D37" s="287">
        <f>SUM(D25:D36)</f>
        <v>9051</v>
      </c>
      <c r="E37" s="306"/>
      <c r="F37" s="307">
        <f t="shared" si="9"/>
        <v>9051</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24000</v>
      </c>
      <c r="P37" s="288">
        <f t="shared" si="12"/>
        <v>251.9</v>
      </c>
      <c r="Q37" s="305">
        <f t="shared" si="12"/>
        <v>76442.899999999994</v>
      </c>
      <c r="R37" s="304"/>
      <c r="S37" s="1082" t="s">
        <v>597</v>
      </c>
      <c r="T37" s="1083"/>
      <c r="U37" s="1083"/>
      <c r="V37" s="1083"/>
      <c r="W37" s="1083"/>
      <c r="X37" s="1083"/>
      <c r="Y37" s="1083"/>
      <c r="Z37" s="1083"/>
      <c r="AA37" s="1083"/>
      <c r="AB37" s="831">
        <f>I51</f>
        <v>0</v>
      </c>
      <c r="AC37" s="832"/>
      <c r="AD37" s="941">
        <f>IF(AB37&lt;=10000,AB37,10000)</f>
        <v>0</v>
      </c>
      <c r="AE37" s="942"/>
      <c r="AF37" s="943"/>
      <c r="AG37" s="151"/>
    </row>
    <row r="38" spans="1:33" s="50" customFormat="1" ht="19.5" customHeight="1">
      <c r="A38" s="999" t="s">
        <v>12</v>
      </c>
      <c r="B38" s="860"/>
      <c r="C38" s="1000">
        <f>Q21</f>
        <v>755406</v>
      </c>
      <c r="D38" s="860"/>
      <c r="E38" s="309"/>
      <c r="F38" s="310"/>
      <c r="G38" s="1001" t="s">
        <v>13</v>
      </c>
      <c r="H38" s="1001"/>
      <c r="I38" s="1001"/>
      <c r="J38" s="860">
        <f>Q37</f>
        <v>76442.899999999994</v>
      </c>
      <c r="K38" s="860"/>
      <c r="L38" s="860"/>
      <c r="M38" s="310"/>
      <c r="N38" s="998" t="s">
        <v>15</v>
      </c>
      <c r="O38" s="998"/>
      <c r="P38" s="860">
        <f>Q21-Q37</f>
        <v>678963.1</v>
      </c>
      <c r="Q38" s="861"/>
      <c r="R38" s="304"/>
      <c r="S38" s="1079" t="s">
        <v>179</v>
      </c>
      <c r="T38" s="1067"/>
      <c r="U38" s="1067"/>
      <c r="V38" s="1067"/>
      <c r="W38" s="1067"/>
      <c r="X38" s="1067"/>
      <c r="Y38" s="1067"/>
      <c r="Z38" s="1067"/>
      <c r="AA38" s="1067"/>
      <c r="AB38" s="1067"/>
      <c r="AC38" s="1067"/>
      <c r="AD38" s="944">
        <f>SUM(AD29:AD37)</f>
        <v>0</v>
      </c>
      <c r="AE38" s="945"/>
      <c r="AF38" s="946"/>
      <c r="AG38" s="151"/>
    </row>
    <row r="39" spans="1:33" s="50" customFormat="1"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710135</v>
      </c>
      <c r="AE39" s="949"/>
      <c r="AF39" s="950"/>
      <c r="AG39" s="151"/>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710140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67028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67028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1341</v>
      </c>
      <c r="V43" s="949"/>
      <c r="W43" s="949"/>
      <c r="X43" s="1067" t="s">
        <v>84</v>
      </c>
      <c r="Y43" s="1067"/>
      <c r="Z43" s="1067"/>
      <c r="AA43" s="953">
        <f>ROUND((AD42*1%),0)</f>
        <v>670</v>
      </c>
      <c r="AB43" s="953"/>
      <c r="AC43" s="953"/>
      <c r="AD43" s="951">
        <f>U43+AA43</f>
        <v>2011</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69039</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s="50" customFormat="1" ht="19.5" customHeight="1">
      <c r="A46" s="865" t="s">
        <v>278</v>
      </c>
      <c r="B46" s="866"/>
      <c r="C46" s="866"/>
      <c r="D46" s="867"/>
      <c r="E46" s="213"/>
      <c r="F46" s="862">
        <v>0</v>
      </c>
      <c r="G46" s="863"/>
      <c r="H46" s="863"/>
      <c r="I46" s="864"/>
      <c r="J46" s="994" t="s">
        <v>26</v>
      </c>
      <c r="K46" s="995"/>
      <c r="L46" s="995"/>
      <c r="M46" s="995"/>
      <c r="N46" s="995"/>
      <c r="O46" s="996"/>
      <c r="P46" s="941">
        <f>IF('Emp.-Detail'!F11="NO",0,ROUND(E21+K21,0))</f>
        <v>0</v>
      </c>
      <c r="Q46" s="943"/>
      <c r="R46" s="70"/>
      <c r="S46" s="1071" t="s">
        <v>87</v>
      </c>
      <c r="T46" s="1072"/>
      <c r="U46" s="1072"/>
      <c r="V46" s="1072"/>
      <c r="W46" s="1072"/>
      <c r="X46" s="1072"/>
      <c r="Y46" s="1072"/>
      <c r="Z46" s="1072"/>
      <c r="AA46" s="1072"/>
      <c r="AB46" s="1072"/>
      <c r="AC46" s="1072"/>
      <c r="AD46" s="796">
        <f>AD44-AD45</f>
        <v>69039</v>
      </c>
      <c r="AE46" s="860"/>
      <c r="AF46" s="861"/>
      <c r="AG46" s="151"/>
    </row>
    <row r="47" spans="1:33" ht="19.5" customHeight="1">
      <c r="A47" s="871" t="s">
        <v>16</v>
      </c>
      <c r="B47" s="872"/>
      <c r="C47" s="872"/>
      <c r="D47" s="872"/>
      <c r="E47" s="872"/>
      <c r="F47" s="872"/>
      <c r="G47" s="872"/>
      <c r="H47" s="872"/>
      <c r="I47" s="872"/>
      <c r="J47" s="872"/>
      <c r="K47" s="212"/>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312"/>
      <c r="AG47" s="151"/>
    </row>
    <row r="48" spans="1:33" ht="19.5" customHeight="1">
      <c r="A48" s="868" t="s">
        <v>187</v>
      </c>
      <c r="B48" s="869"/>
      <c r="C48" s="862">
        <v>0</v>
      </c>
      <c r="D48" s="864"/>
      <c r="E48" s="214"/>
      <c r="F48" s="828" t="s">
        <v>106</v>
      </c>
      <c r="G48" s="829"/>
      <c r="H48" s="824"/>
      <c r="I48" s="862">
        <v>0</v>
      </c>
      <c r="J48" s="863"/>
      <c r="K48" s="214"/>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313"/>
      <c r="AG48" s="151"/>
    </row>
    <row r="49" spans="1:35" ht="19.5" customHeight="1">
      <c r="A49" s="823" t="s">
        <v>78</v>
      </c>
      <c r="B49" s="824"/>
      <c r="C49" s="862">
        <v>0</v>
      </c>
      <c r="D49" s="864"/>
      <c r="E49" s="214"/>
      <c r="F49" s="828" t="s">
        <v>188</v>
      </c>
      <c r="G49" s="829"/>
      <c r="H49" s="824"/>
      <c r="I49" s="862">
        <v>0</v>
      </c>
      <c r="J49" s="863"/>
      <c r="K49" s="214"/>
      <c r="L49" s="1194" t="s">
        <v>194</v>
      </c>
      <c r="M49" s="1194"/>
      <c r="N49" s="1194"/>
      <c r="O49" s="1020">
        <v>0</v>
      </c>
      <c r="P49" s="1020"/>
      <c r="Q49" s="216">
        <v>0</v>
      </c>
      <c r="R49" s="176"/>
      <c r="S49" s="1080">
        <f>SUM(O25:O27)</f>
        <v>6000</v>
      </c>
      <c r="T49" s="1081"/>
      <c r="U49" s="1081"/>
      <c r="V49" s="1070">
        <f>SUM(O28:O30)</f>
        <v>6000</v>
      </c>
      <c r="W49" s="1070"/>
      <c r="X49" s="1070"/>
      <c r="Y49" s="1070">
        <f>SUM(O31:O33)</f>
        <v>6000</v>
      </c>
      <c r="Z49" s="1070"/>
      <c r="AA49" s="1070"/>
      <c r="AB49" s="951">
        <f>SUM(O34:O36)</f>
        <v>6000</v>
      </c>
      <c r="AC49" s="951"/>
      <c r="AD49" s="951"/>
      <c r="AE49" s="951"/>
      <c r="AF49" s="199"/>
      <c r="AG49" s="17"/>
    </row>
    <row r="50" spans="1:35" ht="19.5" customHeight="1">
      <c r="A50" s="823" t="s">
        <v>79</v>
      </c>
      <c r="B50" s="824"/>
      <c r="C50" s="1020">
        <v>0</v>
      </c>
      <c r="D50" s="1020"/>
      <c r="E50" s="210"/>
      <c r="F50" s="828" t="s">
        <v>81</v>
      </c>
      <c r="G50" s="829"/>
      <c r="H50" s="824"/>
      <c r="I50" s="1020">
        <v>0</v>
      </c>
      <c r="J50" s="862"/>
      <c r="K50" s="210"/>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24000</v>
      </c>
      <c r="AE50" s="796"/>
      <c r="AF50" s="797"/>
      <c r="AG50" s="17"/>
    </row>
    <row r="51" spans="1:35" ht="19.5" customHeight="1">
      <c r="A51" s="823" t="s">
        <v>80</v>
      </c>
      <c r="B51" s="824"/>
      <c r="C51" s="862">
        <v>0</v>
      </c>
      <c r="D51" s="864"/>
      <c r="E51" s="215"/>
      <c r="F51" s="828" t="s">
        <v>142</v>
      </c>
      <c r="G51" s="829"/>
      <c r="H51" s="824"/>
      <c r="I51" s="1020">
        <v>0</v>
      </c>
      <c r="J51" s="862"/>
      <c r="K51" s="210"/>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45039</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10"/>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10"/>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11"/>
      <c r="L55" s="1175" t="s">
        <v>198</v>
      </c>
      <c r="M55" s="1175"/>
      <c r="N55" s="1175"/>
      <c r="O55" s="1177">
        <v>0</v>
      </c>
      <c r="P55" s="1177"/>
      <c r="Q55" s="1023"/>
      <c r="R55" s="70"/>
      <c r="S55" s="1202"/>
      <c r="T55" s="1203"/>
      <c r="U55" s="1203"/>
      <c r="V55" s="1203"/>
      <c r="W55" s="765"/>
      <c r="X55" s="765"/>
      <c r="Y55" s="765"/>
      <c r="Z55" s="765"/>
      <c r="AA55" s="765"/>
      <c r="AB55" s="1203" t="str">
        <f>S3</f>
        <v>RAM PRASHAD SHARMA</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755406</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755406</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755406</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RAM PRASHAD SHARMA</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AGDPS0116J</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9001774423</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755406</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'Emp.-Detail'!O11</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9051</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205385</v>
      </c>
      <c r="K69" s="788"/>
      <c r="L69" s="788"/>
      <c r="M69" s="776"/>
      <c r="N69" s="775">
        <f>SUM(O25:O27)</f>
        <v>6000</v>
      </c>
      <c r="O69" s="776"/>
      <c r="P69" s="775">
        <f>N69</f>
        <v>6000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182677</v>
      </c>
      <c r="K70" s="788"/>
      <c r="L70" s="788"/>
      <c r="M70" s="776"/>
      <c r="N70" s="775">
        <f>SUM(O28:O30)</f>
        <v>6000</v>
      </c>
      <c r="O70" s="776"/>
      <c r="P70" s="775">
        <f>N70</f>
        <v>6000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182907</v>
      </c>
      <c r="K71" s="788"/>
      <c r="L71" s="788"/>
      <c r="M71" s="776"/>
      <c r="N71" s="775">
        <f>SUM(O31:O33)</f>
        <v>6000</v>
      </c>
      <c r="O71" s="776"/>
      <c r="P71" s="775">
        <f t="shared" ref="P71:P72" si="13">N71</f>
        <v>6000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184437</v>
      </c>
      <c r="K72" s="788"/>
      <c r="L72" s="788"/>
      <c r="M72" s="776"/>
      <c r="N72" s="775">
        <f>SUM(O34:O36)</f>
        <v>6000</v>
      </c>
      <c r="O72" s="776"/>
      <c r="P72" s="775">
        <f t="shared" si="13"/>
        <v>6000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755406</v>
      </c>
      <c r="K73" s="808"/>
      <c r="L73" s="808"/>
      <c r="M73" s="809"/>
      <c r="N73" s="845">
        <f>SUM(N69:N72)</f>
        <v>24000</v>
      </c>
      <c r="O73" s="809"/>
      <c r="P73" s="845">
        <f>SUM(P69:P72)</f>
        <v>24000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2000</v>
      </c>
      <c r="H76" s="219">
        <f>O28</f>
        <v>2000</v>
      </c>
      <c r="I76" s="219">
        <f>O29</f>
        <v>2000</v>
      </c>
      <c r="J76" s="219">
        <f>O30</f>
        <v>2000</v>
      </c>
      <c r="K76" s="219"/>
      <c r="L76" s="219">
        <f>O31</f>
        <v>2000</v>
      </c>
      <c r="M76" s="219">
        <f>O32</f>
        <v>2000</v>
      </c>
      <c r="N76" s="219">
        <f>O33</f>
        <v>2000</v>
      </c>
      <c r="O76" s="219">
        <f>O34</f>
        <v>2000</v>
      </c>
      <c r="P76" s="219">
        <f>O35</f>
        <v>2000</v>
      </c>
      <c r="Q76" s="220">
        <f>O36</f>
        <v>2000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45271</v>
      </c>
      <c r="AC81" s="1113"/>
      <c r="AD81" s="773">
        <f>AD26</f>
        <v>45271</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'Emp.-Detail'!N11</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'Emp.-Detail'!N11</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'Emp.-Detail'!N11</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'Emp.-Detail'!J11</f>
        <v>0</v>
      </c>
      <c r="C87" s="788"/>
      <c r="D87" s="776"/>
      <c r="E87" s="257"/>
      <c r="F87" s="1233" t="str">
        <f>'Emp.-Detail'!K11</f>
        <v>0</v>
      </c>
      <c r="G87" s="791"/>
      <c r="H87" s="791"/>
      <c r="I87" s="792"/>
      <c r="J87" s="810" t="str">
        <f>'Emp.-Detail'!L11</f>
        <v>00/00/0000</v>
      </c>
      <c r="K87" s="811"/>
      <c r="L87" s="811"/>
      <c r="M87" s="812"/>
      <c r="N87" s="1233" t="str">
        <f>'Emp.-Detail'!M11</f>
        <v>00</v>
      </c>
      <c r="O87" s="792"/>
      <c r="P87" s="793" t="str">
        <f>'Emp.-Detail'!N11</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24000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TWENTY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45271</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710140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67028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2011</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69039</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69039</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755406</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755406</v>
      </c>
      <c r="P104" s="776"/>
      <c r="Q104" s="258">
        <f>O104</f>
        <v>755406</v>
      </c>
      <c r="R104" s="235"/>
      <c r="S104" s="254"/>
      <c r="T104" s="229" t="str">
        <f>'DDO '!L10</f>
        <v>PRINCIPAL</v>
      </c>
      <c r="U104" s="229"/>
      <c r="V104" s="780" t="s">
        <v>51</v>
      </c>
      <c r="W104" s="780"/>
      <c r="X104" s="780"/>
      <c r="Y104" s="780"/>
      <c r="Z104" s="770">
        <f>AD100</f>
        <v>69039</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SIXTY  NINE  Thousand   THIRTY  NINE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755406</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755406</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755406</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51"/>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V25:W25"/>
    <mergeCell ref="X25:AC25"/>
    <mergeCell ref="AD25:AF25"/>
    <mergeCell ref="X23:AC23"/>
    <mergeCell ref="S26:AA26"/>
    <mergeCell ref="AB26:AC26"/>
    <mergeCell ref="S25:U25"/>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F50:H50"/>
    <mergeCell ref="F51:H51"/>
    <mergeCell ref="F52:J52"/>
    <mergeCell ref="A53:H53"/>
    <mergeCell ref="A54:H54"/>
    <mergeCell ref="A50:B50"/>
    <mergeCell ref="C50:D50"/>
    <mergeCell ref="I50:J50"/>
    <mergeCell ref="L50:N50"/>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D96:AE96"/>
    <mergeCell ref="A100:L100"/>
    <mergeCell ref="M100:N100"/>
    <mergeCell ref="O100:P103"/>
    <mergeCell ref="Q100:Q103"/>
    <mergeCell ref="S100:AC100"/>
    <mergeCell ref="AD100:AE100"/>
    <mergeCell ref="A101:L101"/>
    <mergeCell ref="M101:N101"/>
    <mergeCell ref="S101:AE101"/>
    <mergeCell ref="A102:L102"/>
    <mergeCell ref="M102:N102"/>
    <mergeCell ref="S102:AE102"/>
    <mergeCell ref="A103:L103"/>
    <mergeCell ref="M103:N103"/>
    <mergeCell ref="T103:V103"/>
    <mergeCell ref="W103:Y103"/>
    <mergeCell ref="Z103:AB103"/>
    <mergeCell ref="AC103:AE103"/>
    <mergeCell ref="O109:P109"/>
    <mergeCell ref="S109:T109"/>
    <mergeCell ref="U109:W109"/>
    <mergeCell ref="AA105:AE105"/>
    <mergeCell ref="A106:D106"/>
    <mergeCell ref="A104:L104"/>
    <mergeCell ref="AB112:AE112"/>
    <mergeCell ref="X109:AE110"/>
    <mergeCell ref="S107:AE108"/>
    <mergeCell ref="F108:G108"/>
    <mergeCell ref="F106:G106"/>
    <mergeCell ref="H106:L106"/>
    <mergeCell ref="T118:Y118"/>
    <mergeCell ref="O111:P111"/>
    <mergeCell ref="Z111:AE111"/>
    <mergeCell ref="A112:F112"/>
    <mergeCell ref="G112:I112"/>
    <mergeCell ref="J112:L112"/>
    <mergeCell ref="M112:N112"/>
    <mergeCell ref="O112:P112"/>
    <mergeCell ref="S112:U112"/>
    <mergeCell ref="V112:Y112"/>
    <mergeCell ref="Z112:AA112"/>
    <mergeCell ref="A110:C111"/>
    <mergeCell ref="D110:I110"/>
    <mergeCell ref="J110:L110"/>
    <mergeCell ref="M110:P110"/>
    <mergeCell ref="S110:T110"/>
    <mergeCell ref="U110:W110"/>
    <mergeCell ref="D111:I111"/>
    <mergeCell ref="J111:L111"/>
    <mergeCell ref="M111:N111"/>
    <mergeCell ref="Q105:Q112"/>
    <mergeCell ref="T105:Z105"/>
    <mergeCell ref="M108:N108"/>
    <mergeCell ref="A109:N109"/>
    <mergeCell ref="A1:D1"/>
    <mergeCell ref="T106:AE106"/>
    <mergeCell ref="A107:D107"/>
    <mergeCell ref="F107:G107"/>
    <mergeCell ref="H107:L108"/>
    <mergeCell ref="A108:D108"/>
    <mergeCell ref="M104:N107"/>
    <mergeCell ref="O104:P104"/>
    <mergeCell ref="V104:Y104"/>
    <mergeCell ref="Z104:AB104"/>
    <mergeCell ref="AC104:AE104"/>
    <mergeCell ref="A105:L105"/>
    <mergeCell ref="O105:P108"/>
    <mergeCell ref="A98:Q98"/>
    <mergeCell ref="S98:AC98"/>
    <mergeCell ref="AD98:AE98"/>
    <mergeCell ref="A99:Q99"/>
    <mergeCell ref="S99:AC99"/>
    <mergeCell ref="AD99:AE99"/>
    <mergeCell ref="A97:J97"/>
    <mergeCell ref="L97:M97"/>
    <mergeCell ref="N97:Q97"/>
    <mergeCell ref="S97:AC97"/>
    <mergeCell ref="AD97:AE97"/>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ignoredErrors>
    <ignoredError sqref="AD31 AD34" formula="1"/>
    <ignoredError sqref="C10:Q12 C14:Q21 D13:Q13 C26:P36 C9:K9 M9:Q9 C25:M25 P25" unlockedFormula="1"/>
    <ignoredError sqref="C13" formula="1" unlockedFormula="1"/>
  </ignoredErrors>
</worksheet>
</file>

<file path=xl/worksheets/sheet8.xml><?xml version="1.0" encoding="utf-8"?>
<worksheet xmlns="http://schemas.openxmlformats.org/spreadsheetml/2006/main" xmlns:r="http://schemas.openxmlformats.org/officeDocument/2006/relationships">
  <dimension ref="A1:AJ150"/>
  <sheetViews>
    <sheetView view="pageBreakPreview" topLeftCell="A3" zoomScaleSheetLayoutView="100" workbookViewId="0">
      <selection activeCell="L9" sqref="L9"/>
    </sheetView>
  </sheetViews>
  <sheetFormatPr defaultColWidth="0" defaultRowHeight="15" customHeight="1" zeroHeight="1"/>
  <cols>
    <col min="1" max="1" width="4.140625" style="50" customWidth="1"/>
    <col min="2" max="2" width="9.85546875" style="50" customWidth="1"/>
    <col min="3" max="3" width="10" style="50" customWidth="1"/>
    <col min="4" max="4" width="9.140625" style="50" customWidth="1"/>
    <col min="5" max="5" width="10.42578125" style="50" hidden="1" customWidth="1"/>
    <col min="6" max="6" width="8.28515625" style="50" customWidth="1"/>
    <col min="7" max="7" width="8.140625" style="50" customWidth="1"/>
    <col min="8" max="8" width="9" style="50" customWidth="1"/>
    <col min="9" max="9" width="8.5703125" style="50" customWidth="1"/>
    <col min="10" max="10" width="8.28515625" style="50" customWidth="1"/>
    <col min="11" max="11" width="8" style="50" hidden="1" customWidth="1"/>
    <col min="12" max="12" width="8.140625" style="50" customWidth="1"/>
    <col min="13" max="14" width="8.28515625" style="50" customWidth="1"/>
    <col min="15" max="15" width="8.42578125" style="50" customWidth="1"/>
    <col min="16" max="16" width="8.140625" style="50" customWidth="1"/>
    <col min="17" max="17" width="12.5703125" style="50" customWidth="1"/>
    <col min="18" max="18" width="0.85546875" style="50" customWidth="1"/>
    <col min="19" max="21" width="9.140625" style="50" customWidth="1"/>
    <col min="22" max="22" width="11.42578125" style="50" customWidth="1"/>
    <col min="23" max="30" width="9.140625" style="50" customWidth="1"/>
    <col min="31" max="31" width="11.140625" style="50" customWidth="1"/>
    <col min="32" max="32" width="0.140625" style="50" customWidth="1"/>
    <col min="33" max="33" width="0.85546875" style="6" customWidth="1"/>
    <col min="34" max="35" width="9.140625" style="6" hidden="1" customWidth="1"/>
    <col min="36" max="36" width="9.5703125" style="6" hidden="1" customWidth="1"/>
    <col min="37" max="16384" width="9.140625" style="6" hidden="1"/>
  </cols>
  <sheetData>
    <row r="1" spans="1:33" s="50" customFormat="1" ht="20.100000000000001" customHeight="1" thickBot="1">
      <c r="A1" s="1232" t="s">
        <v>403</v>
      </c>
      <c r="B1" s="1232"/>
      <c r="C1" s="1232"/>
      <c r="D1" s="1232"/>
      <c r="E1" s="318"/>
      <c r="F1" s="318"/>
      <c r="G1" s="151"/>
      <c r="H1" s="151"/>
      <c r="I1" s="151"/>
      <c r="J1" s="151"/>
      <c r="K1" s="151"/>
      <c r="L1" s="151"/>
      <c r="M1" s="151"/>
      <c r="N1" s="151"/>
      <c r="O1" s="151"/>
      <c r="P1" s="151"/>
      <c r="Q1" s="321"/>
      <c r="R1" s="252"/>
      <c r="S1" s="321"/>
      <c r="T1" s="151"/>
      <c r="U1" s="151"/>
      <c r="V1" s="151"/>
      <c r="W1" s="151"/>
      <c r="X1" s="151"/>
      <c r="Y1" s="151"/>
      <c r="Z1" s="151"/>
      <c r="AA1" s="151"/>
      <c r="AB1" s="151"/>
      <c r="AC1" s="151"/>
      <c r="AD1" s="151"/>
      <c r="AE1" s="151"/>
      <c r="AG1" s="151"/>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S3" s="1240" t="str">
        <f>D4</f>
        <v>BHAGIRATH GURDA</v>
      </c>
      <c r="T3" s="1241"/>
      <c r="U3" s="1241"/>
      <c r="V3" s="1242"/>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'Emp.-Detail'!B12</f>
        <v>BHAGIRATH GURDA</v>
      </c>
      <c r="E4" s="949"/>
      <c r="F4" s="949"/>
      <c r="G4" s="949"/>
      <c r="H4" s="949"/>
      <c r="I4" s="854"/>
      <c r="J4" s="1185">
        <f>'Emp.-Detail'!A12</f>
        <v>4</v>
      </c>
      <c r="K4" s="1186"/>
      <c r="L4" s="1187"/>
      <c r="M4" s="982" t="s">
        <v>8</v>
      </c>
      <c r="N4" s="833"/>
      <c r="O4" s="833"/>
      <c r="P4" s="949" t="str">
        <f>'Emp.-Detail'!C12</f>
        <v>Lecturer</v>
      </c>
      <c r="Q4" s="950"/>
      <c r="S4" s="963" t="str">
        <f>D5</f>
        <v>ADZPG8777C</v>
      </c>
      <c r="T4" s="855"/>
      <c r="U4" s="855"/>
      <c r="V4" s="964"/>
      <c r="W4" s="959" t="str">
        <f>'Emp.-Detail'!H12</f>
        <v>40970100000799</v>
      </c>
      <c r="X4" s="949"/>
      <c r="Y4" s="949"/>
      <c r="Z4" s="949"/>
      <c r="AA4" s="949" t="str">
        <f>'Emp.-Detail'!I12</f>
        <v>BRKGB, Chhapar</v>
      </c>
      <c r="AB4" s="949"/>
      <c r="AC4" s="949"/>
      <c r="AD4" s="949"/>
      <c r="AE4" s="949"/>
      <c r="AF4" s="950"/>
      <c r="AG4" s="17"/>
    </row>
    <row r="5" spans="1:33" ht="19.5" customHeight="1" thickBot="1">
      <c r="A5" s="954" t="s">
        <v>135</v>
      </c>
      <c r="B5" s="833"/>
      <c r="C5" s="833"/>
      <c r="D5" s="949" t="str">
        <f>'Emp.-Detail'!D12</f>
        <v>ADZPG8777C</v>
      </c>
      <c r="E5" s="949"/>
      <c r="F5" s="949"/>
      <c r="G5" s="949"/>
      <c r="H5" s="949"/>
      <c r="I5" s="854"/>
      <c r="J5" s="1188"/>
      <c r="K5" s="1189"/>
      <c r="L5" s="1190"/>
      <c r="M5" s="982" t="s">
        <v>137</v>
      </c>
      <c r="N5" s="833"/>
      <c r="O5" s="833"/>
      <c r="P5" s="959">
        <f>'Emp.-Detail'!G12</f>
        <v>9784158682</v>
      </c>
      <c r="Q5" s="950"/>
      <c r="S5" s="974" t="s">
        <v>203</v>
      </c>
      <c r="T5" s="975"/>
      <c r="U5" s="975"/>
      <c r="V5" s="975"/>
      <c r="W5" s="951">
        <f>SUM(Q9:Q20)</f>
        <v>721853</v>
      </c>
      <c r="X5" s="951"/>
      <c r="Y5" s="976" t="s">
        <v>202</v>
      </c>
      <c r="Z5" s="976"/>
      <c r="AA5" s="976"/>
      <c r="AB5" s="951">
        <f>P46</f>
        <v>0</v>
      </c>
      <c r="AC5" s="949"/>
      <c r="AD5" s="941">
        <f>W5+AB5</f>
        <v>721853</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S6" s="972" t="s">
        <v>149</v>
      </c>
      <c r="T6" s="970"/>
      <c r="U6" s="970"/>
      <c r="V6" s="970"/>
      <c r="W6" s="970"/>
      <c r="X6" s="970"/>
      <c r="Y6" s="970"/>
      <c r="Z6" s="970"/>
      <c r="AA6" s="973"/>
      <c r="AB6" s="951">
        <f>I53</f>
        <v>0</v>
      </c>
      <c r="AC6" s="951"/>
      <c r="AD6" s="941">
        <f>AD5-AB6</f>
        <v>721853</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721853</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721853</v>
      </c>
      <c r="AE8" s="942"/>
      <c r="AF8" s="943"/>
      <c r="AG8" s="17"/>
    </row>
    <row r="9" spans="1:33" ht="19.5" customHeight="1">
      <c r="A9" s="285">
        <v>1</v>
      </c>
      <c r="B9" s="286">
        <v>42430</v>
      </c>
      <c r="C9" s="190">
        <f>'Emp.-Detail'!E12</f>
        <v>23760</v>
      </c>
      <c r="D9" s="190">
        <f>ROUND(C9*119%,0)</f>
        <v>28274</v>
      </c>
      <c r="E9" s="191">
        <f>ROUND((C9+D9)*10%,0)</f>
        <v>5203</v>
      </c>
      <c r="F9" s="190">
        <f>ROUND(C9*10%,0)</f>
        <v>2376</v>
      </c>
      <c r="G9" s="190">
        <v>0</v>
      </c>
      <c r="H9" s="190">
        <v>0</v>
      </c>
      <c r="I9" s="192">
        <f>ROUND(C9*6%,0)*3</f>
        <v>4278</v>
      </c>
      <c r="J9" s="190">
        <v>0</v>
      </c>
      <c r="K9" s="190">
        <f>ROUND((I9+J9)*10%,0)</f>
        <v>428</v>
      </c>
      <c r="L9" s="190">
        <v>23681</v>
      </c>
      <c r="M9" s="190">
        <v>0</v>
      </c>
      <c r="N9" s="190">
        <v>0</v>
      </c>
      <c r="O9" s="190">
        <v>0</v>
      </c>
      <c r="P9" s="193">
        <v>0</v>
      </c>
      <c r="Q9" s="290">
        <f>C9+D9+F9+G9+H9+I9+J9+L9+M9+N9+O9</f>
        <v>82369</v>
      </c>
      <c r="R9" s="282"/>
      <c r="S9" s="984" t="s">
        <v>144</v>
      </c>
      <c r="T9" s="985"/>
      <c r="U9" s="985"/>
      <c r="V9" s="985"/>
      <c r="W9" s="985"/>
      <c r="X9" s="985"/>
      <c r="Y9" s="985"/>
      <c r="Z9" s="971" t="s">
        <v>18</v>
      </c>
      <c r="AA9" s="971"/>
      <c r="AB9" s="967">
        <f>O49</f>
        <v>0</v>
      </c>
      <c r="AC9" s="968"/>
      <c r="AD9" s="977">
        <f>AD8+AB9</f>
        <v>721853</v>
      </c>
      <c r="AE9" s="978"/>
      <c r="AF9" s="979"/>
      <c r="AG9" s="17"/>
    </row>
    <row r="10" spans="1:33" ht="19.5" customHeight="1">
      <c r="A10" s="187">
        <v>2</v>
      </c>
      <c r="B10" s="286">
        <v>42461</v>
      </c>
      <c r="C10" s="192">
        <f>C9</f>
        <v>23760</v>
      </c>
      <c r="D10" s="190">
        <f>ROUND(C10*125%,0)</f>
        <v>29700</v>
      </c>
      <c r="E10" s="191">
        <f t="shared" ref="E10:E20" si="0">ROUND((C10+D10)*10%,0)</f>
        <v>5346</v>
      </c>
      <c r="F10" s="190">
        <f t="shared" ref="F10:F20" si="1">ROUND(C10*10%,0)</f>
        <v>2376</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55836</v>
      </c>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23760</v>
      </c>
      <c r="D11" s="190">
        <f t="shared" ref="D11:D15" si="4">ROUND(C11*125%,0)</f>
        <v>29700</v>
      </c>
      <c r="E11" s="191">
        <f t="shared" si="0"/>
        <v>5346</v>
      </c>
      <c r="F11" s="190">
        <f t="shared" si="1"/>
        <v>2376</v>
      </c>
      <c r="G11" s="192">
        <f t="shared" ref="G11:H20" si="5">G10</f>
        <v>0</v>
      </c>
      <c r="H11" s="192">
        <f t="shared" si="5"/>
        <v>0</v>
      </c>
      <c r="I11" s="192">
        <v>0</v>
      </c>
      <c r="J11" s="190">
        <v>0</v>
      </c>
      <c r="K11" s="190">
        <f t="shared" si="2"/>
        <v>0</v>
      </c>
      <c r="L11" s="190">
        <v>0</v>
      </c>
      <c r="M11" s="190">
        <v>0</v>
      </c>
      <c r="N11" s="190">
        <v>0</v>
      </c>
      <c r="O11" s="190">
        <v>0</v>
      </c>
      <c r="P11" s="193">
        <v>0</v>
      </c>
      <c r="Q11" s="290">
        <f t="shared" si="3"/>
        <v>55836</v>
      </c>
      <c r="S11" s="292" t="s">
        <v>146</v>
      </c>
      <c r="T11" s="958">
        <f>O50</f>
        <v>0</v>
      </c>
      <c r="U11" s="948"/>
      <c r="V11" s="980">
        <f>O51</f>
        <v>0</v>
      </c>
      <c r="W11" s="958"/>
      <c r="X11" s="948"/>
      <c r="Y11" s="980">
        <f>Q49</f>
        <v>0</v>
      </c>
      <c r="Z11" s="958"/>
      <c r="AA11" s="948"/>
      <c r="AB11" s="980">
        <f>T11+V11+Y11</f>
        <v>0</v>
      </c>
      <c r="AC11" s="948"/>
      <c r="AD11" s="941">
        <f>AD9-AB11</f>
        <v>721853</v>
      </c>
      <c r="AE11" s="942"/>
      <c r="AF11" s="943"/>
      <c r="AG11" s="17"/>
    </row>
    <row r="12" spans="1:33" ht="19.5" customHeight="1">
      <c r="A12" s="187">
        <v>4</v>
      </c>
      <c r="B12" s="286">
        <v>42522</v>
      </c>
      <c r="C12" s="192">
        <f>C11</f>
        <v>23760</v>
      </c>
      <c r="D12" s="190">
        <f t="shared" si="4"/>
        <v>29700</v>
      </c>
      <c r="E12" s="191">
        <f t="shared" si="0"/>
        <v>5346</v>
      </c>
      <c r="F12" s="190">
        <f t="shared" si="1"/>
        <v>2376</v>
      </c>
      <c r="G12" s="192">
        <f t="shared" si="5"/>
        <v>0</v>
      </c>
      <c r="H12" s="192">
        <f t="shared" si="5"/>
        <v>0</v>
      </c>
      <c r="I12" s="192">
        <v>0</v>
      </c>
      <c r="J12" s="190">
        <v>0</v>
      </c>
      <c r="K12" s="190">
        <f t="shared" si="2"/>
        <v>0</v>
      </c>
      <c r="L12" s="190">
        <v>0</v>
      </c>
      <c r="M12" s="190">
        <v>0</v>
      </c>
      <c r="N12" s="190">
        <v>0</v>
      </c>
      <c r="O12" s="190">
        <v>0</v>
      </c>
      <c r="P12" s="193">
        <v>0</v>
      </c>
      <c r="Q12" s="290">
        <f t="shared" si="3"/>
        <v>55836</v>
      </c>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24480</v>
      </c>
      <c r="D13" s="190">
        <f t="shared" si="4"/>
        <v>30600</v>
      </c>
      <c r="E13" s="191">
        <f t="shared" si="0"/>
        <v>5508</v>
      </c>
      <c r="F13" s="190">
        <f t="shared" si="1"/>
        <v>2448</v>
      </c>
      <c r="G13" s="192">
        <f t="shared" si="5"/>
        <v>0</v>
      </c>
      <c r="H13" s="192">
        <f t="shared" si="5"/>
        <v>0</v>
      </c>
      <c r="I13" s="192">
        <v>0</v>
      </c>
      <c r="J13" s="190">
        <v>0</v>
      </c>
      <c r="K13" s="190">
        <f t="shared" si="2"/>
        <v>0</v>
      </c>
      <c r="L13" s="190">
        <v>0</v>
      </c>
      <c r="M13" s="190">
        <v>0</v>
      </c>
      <c r="N13" s="190">
        <v>0</v>
      </c>
      <c r="O13" s="190">
        <v>0</v>
      </c>
      <c r="P13" s="193">
        <v>0</v>
      </c>
      <c r="Q13" s="290">
        <f t="shared" si="3"/>
        <v>57528</v>
      </c>
      <c r="R13" s="70"/>
      <c r="S13" s="991">
        <f>O52</f>
        <v>0</v>
      </c>
      <c r="T13" s="948"/>
      <c r="U13" s="980">
        <f>O53</f>
        <v>0</v>
      </c>
      <c r="V13" s="948"/>
      <c r="W13" s="980">
        <f>O54</f>
        <v>0</v>
      </c>
      <c r="X13" s="948"/>
      <c r="Y13" s="980">
        <f>O55</f>
        <v>0</v>
      </c>
      <c r="Z13" s="958"/>
      <c r="AA13" s="958"/>
      <c r="AB13" s="951">
        <f>SUM(S13:AA13)</f>
        <v>0</v>
      </c>
      <c r="AC13" s="951"/>
      <c r="AD13" s="941">
        <f>AD11+AB13</f>
        <v>721853</v>
      </c>
      <c r="AE13" s="965"/>
      <c r="AF13" s="966"/>
      <c r="AG13" s="17"/>
    </row>
    <row r="14" spans="1:33" ht="19.5" customHeight="1">
      <c r="A14" s="187">
        <v>6</v>
      </c>
      <c r="B14" s="286">
        <v>42583</v>
      </c>
      <c r="C14" s="192">
        <f t="shared" ref="C14:C20" si="6">C13</f>
        <v>24480</v>
      </c>
      <c r="D14" s="190">
        <f>ROUND(C14*125%,0)</f>
        <v>30600</v>
      </c>
      <c r="E14" s="191">
        <f t="shared" si="0"/>
        <v>5508</v>
      </c>
      <c r="F14" s="190">
        <f t="shared" si="1"/>
        <v>2448</v>
      </c>
      <c r="G14" s="192">
        <f t="shared" si="5"/>
        <v>0</v>
      </c>
      <c r="H14" s="192">
        <f t="shared" si="5"/>
        <v>0</v>
      </c>
      <c r="I14" s="192">
        <v>0</v>
      </c>
      <c r="J14" s="192">
        <f>ROUND(C13*6%,0)*3</f>
        <v>4407</v>
      </c>
      <c r="K14" s="190">
        <f t="shared" si="2"/>
        <v>441</v>
      </c>
      <c r="L14" s="190">
        <v>0</v>
      </c>
      <c r="M14" s="190">
        <v>0</v>
      </c>
      <c r="N14" s="190">
        <v>0</v>
      </c>
      <c r="O14" s="190">
        <v>0</v>
      </c>
      <c r="P14" s="193">
        <v>0</v>
      </c>
      <c r="Q14" s="290">
        <f t="shared" si="3"/>
        <v>61935</v>
      </c>
      <c r="S14" s="954" t="s">
        <v>19</v>
      </c>
      <c r="T14" s="833"/>
      <c r="U14" s="833"/>
      <c r="V14" s="833"/>
      <c r="W14" s="833"/>
      <c r="X14" s="833"/>
      <c r="Y14" s="833"/>
      <c r="Z14" s="833"/>
      <c r="AA14" s="951">
        <f>I55</f>
        <v>0</v>
      </c>
      <c r="AB14" s="951"/>
      <c r="AC14" s="951"/>
      <c r="AD14" s="941">
        <f>AD13+AA14</f>
        <v>721853</v>
      </c>
      <c r="AE14" s="942"/>
      <c r="AF14" s="943"/>
      <c r="AG14" s="17"/>
    </row>
    <row r="15" spans="1:33" ht="19.5" customHeight="1">
      <c r="A15" s="187">
        <v>7</v>
      </c>
      <c r="B15" s="286">
        <v>42614</v>
      </c>
      <c r="C15" s="192">
        <f t="shared" si="6"/>
        <v>24480</v>
      </c>
      <c r="D15" s="190">
        <f t="shared" si="4"/>
        <v>30600</v>
      </c>
      <c r="E15" s="191">
        <f t="shared" si="0"/>
        <v>5508</v>
      </c>
      <c r="F15" s="190">
        <f t="shared" si="1"/>
        <v>2448</v>
      </c>
      <c r="G15" s="192">
        <f t="shared" si="5"/>
        <v>0</v>
      </c>
      <c r="H15" s="192">
        <f t="shared" si="5"/>
        <v>0</v>
      </c>
      <c r="I15" s="192">
        <v>0</v>
      </c>
      <c r="J15" s="192">
        <v>0</v>
      </c>
      <c r="K15" s="190">
        <f t="shared" si="2"/>
        <v>0</v>
      </c>
      <c r="L15" s="190">
        <v>0</v>
      </c>
      <c r="M15" s="190">
        <v>0</v>
      </c>
      <c r="N15" s="190">
        <v>0</v>
      </c>
      <c r="O15" s="190">
        <v>0</v>
      </c>
      <c r="P15" s="193">
        <v>0</v>
      </c>
      <c r="Q15" s="290">
        <f t="shared" si="3"/>
        <v>57528</v>
      </c>
      <c r="S15" s="992" t="s">
        <v>20</v>
      </c>
      <c r="T15" s="993"/>
      <c r="U15" s="993"/>
      <c r="V15" s="993"/>
      <c r="W15" s="993"/>
      <c r="X15" s="993"/>
      <c r="Y15" s="993"/>
      <c r="Z15" s="993"/>
      <c r="AA15" s="993"/>
      <c r="AB15" s="993"/>
      <c r="AC15" s="993"/>
      <c r="AD15" s="941">
        <f>AD14</f>
        <v>721853</v>
      </c>
      <c r="AE15" s="942"/>
      <c r="AF15" s="943"/>
      <c r="AG15" s="17"/>
    </row>
    <row r="16" spans="1:33" ht="19.5" customHeight="1">
      <c r="A16" s="187">
        <v>8</v>
      </c>
      <c r="B16" s="286">
        <v>42644</v>
      </c>
      <c r="C16" s="192">
        <f t="shared" si="6"/>
        <v>24480</v>
      </c>
      <c r="D16" s="190">
        <f>ROUND(C16*131%,0)</f>
        <v>32069</v>
      </c>
      <c r="E16" s="191">
        <f t="shared" si="0"/>
        <v>5655</v>
      </c>
      <c r="F16" s="190">
        <f t="shared" si="1"/>
        <v>2448</v>
      </c>
      <c r="G16" s="192">
        <f t="shared" si="5"/>
        <v>0</v>
      </c>
      <c r="H16" s="192">
        <f t="shared" si="5"/>
        <v>0</v>
      </c>
      <c r="I16" s="192">
        <v>0</v>
      </c>
      <c r="J16" s="192">
        <v>0</v>
      </c>
      <c r="K16" s="190">
        <f t="shared" si="2"/>
        <v>0</v>
      </c>
      <c r="L16" s="190">
        <v>0</v>
      </c>
      <c r="M16" s="190">
        <v>0</v>
      </c>
      <c r="N16" s="190">
        <v>0</v>
      </c>
      <c r="O16" s="190">
        <v>0</v>
      </c>
      <c r="P16" s="193">
        <v>0</v>
      </c>
      <c r="Q16" s="290">
        <f t="shared" si="3"/>
        <v>58997</v>
      </c>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24480</v>
      </c>
      <c r="D17" s="190">
        <f>ROUND(C17*131%,0)</f>
        <v>32069</v>
      </c>
      <c r="E17" s="191">
        <f t="shared" si="0"/>
        <v>5655</v>
      </c>
      <c r="F17" s="190">
        <f t="shared" si="1"/>
        <v>2448</v>
      </c>
      <c r="G17" s="192">
        <f t="shared" si="5"/>
        <v>0</v>
      </c>
      <c r="H17" s="192">
        <f t="shared" si="5"/>
        <v>0</v>
      </c>
      <c r="I17" s="192">
        <v>0</v>
      </c>
      <c r="J17" s="192">
        <v>0</v>
      </c>
      <c r="K17" s="190">
        <f t="shared" si="2"/>
        <v>0</v>
      </c>
      <c r="L17" s="190">
        <v>0</v>
      </c>
      <c r="M17" s="190">
        <v>0</v>
      </c>
      <c r="N17" s="190">
        <v>0</v>
      </c>
      <c r="O17" s="190">
        <v>0</v>
      </c>
      <c r="P17" s="193">
        <v>0</v>
      </c>
      <c r="Q17" s="290">
        <f t="shared" si="3"/>
        <v>58997</v>
      </c>
      <c r="S17" s="954" t="s">
        <v>157</v>
      </c>
      <c r="T17" s="833"/>
      <c r="U17" s="833"/>
      <c r="V17" s="951">
        <f>IF('Emp.-Detail'!F12="NO",F37,0)</f>
        <v>8685</v>
      </c>
      <c r="W17" s="951"/>
      <c r="X17" s="833" t="s">
        <v>167</v>
      </c>
      <c r="Y17" s="833"/>
      <c r="Z17" s="833"/>
      <c r="AA17" s="833"/>
      <c r="AB17" s="833"/>
      <c r="AC17" s="833"/>
      <c r="AD17" s="831">
        <f>F45</f>
        <v>0</v>
      </c>
      <c r="AE17" s="831"/>
      <c r="AF17" s="955"/>
      <c r="AG17" s="17"/>
    </row>
    <row r="18" spans="1:34" ht="19.5" customHeight="1">
      <c r="A18" s="187">
        <v>10</v>
      </c>
      <c r="B18" s="286">
        <v>42705</v>
      </c>
      <c r="C18" s="192">
        <f t="shared" si="6"/>
        <v>24480</v>
      </c>
      <c r="D18" s="190">
        <f>ROUND(C18*131%,0)</f>
        <v>32069</v>
      </c>
      <c r="E18" s="191">
        <f t="shared" si="0"/>
        <v>5655</v>
      </c>
      <c r="F18" s="190">
        <f t="shared" si="1"/>
        <v>2448</v>
      </c>
      <c r="G18" s="192">
        <f t="shared" si="5"/>
        <v>0</v>
      </c>
      <c r="H18" s="192">
        <f t="shared" si="5"/>
        <v>0</v>
      </c>
      <c r="I18" s="192">
        <v>0</v>
      </c>
      <c r="J18" s="192">
        <v>0</v>
      </c>
      <c r="K18" s="190">
        <f t="shared" si="2"/>
        <v>0</v>
      </c>
      <c r="L18" s="190">
        <v>0</v>
      </c>
      <c r="M18" s="190">
        <v>0</v>
      </c>
      <c r="N18" s="190">
        <v>0</v>
      </c>
      <c r="O18" s="190">
        <v>0</v>
      </c>
      <c r="P18" s="193">
        <v>0</v>
      </c>
      <c r="Q18" s="290">
        <f t="shared" si="3"/>
        <v>58997</v>
      </c>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24480</v>
      </c>
      <c r="D19" s="190">
        <f>ROUND(C19*131%,0)</f>
        <v>32069</v>
      </c>
      <c r="E19" s="191">
        <f t="shared" si="0"/>
        <v>5655</v>
      </c>
      <c r="F19" s="190">
        <f t="shared" si="1"/>
        <v>2448</v>
      </c>
      <c r="G19" s="192">
        <f t="shared" si="5"/>
        <v>0</v>
      </c>
      <c r="H19" s="192">
        <f t="shared" si="5"/>
        <v>0</v>
      </c>
      <c r="I19" s="192">
        <v>0</v>
      </c>
      <c r="J19" s="192">
        <v>0</v>
      </c>
      <c r="K19" s="190">
        <f t="shared" si="2"/>
        <v>0</v>
      </c>
      <c r="L19" s="190">
        <v>0</v>
      </c>
      <c r="M19" s="190">
        <v>0</v>
      </c>
      <c r="N19" s="190">
        <v>0</v>
      </c>
      <c r="O19" s="190">
        <v>0</v>
      </c>
      <c r="P19" s="193">
        <v>0</v>
      </c>
      <c r="Q19" s="290">
        <f t="shared" si="3"/>
        <v>58997</v>
      </c>
      <c r="S19" s="954" t="s">
        <v>159</v>
      </c>
      <c r="T19" s="833"/>
      <c r="U19" s="833"/>
      <c r="V19" s="951">
        <f>N37</f>
        <v>0</v>
      </c>
      <c r="W19" s="951"/>
      <c r="X19" s="833" t="s">
        <v>169</v>
      </c>
      <c r="Y19" s="833"/>
      <c r="Z19" s="833"/>
      <c r="AA19" s="833"/>
      <c r="AB19" s="833"/>
      <c r="AC19" s="833"/>
      <c r="AD19" s="831">
        <f>P40</f>
        <v>0</v>
      </c>
      <c r="AE19" s="831"/>
      <c r="AF19" s="955"/>
      <c r="AG19" s="17"/>
    </row>
    <row r="20" spans="1:34" ht="19.5" customHeight="1">
      <c r="A20" s="187">
        <v>12</v>
      </c>
      <c r="B20" s="286">
        <v>42767</v>
      </c>
      <c r="C20" s="192">
        <f t="shared" si="6"/>
        <v>24480</v>
      </c>
      <c r="D20" s="190">
        <f>ROUND(C20*131%,0)</f>
        <v>32069</v>
      </c>
      <c r="E20" s="191">
        <f t="shared" si="0"/>
        <v>5655</v>
      </c>
      <c r="F20" s="190">
        <f t="shared" si="1"/>
        <v>2448</v>
      </c>
      <c r="G20" s="192">
        <f t="shared" si="5"/>
        <v>0</v>
      </c>
      <c r="H20" s="192">
        <f t="shared" si="5"/>
        <v>0</v>
      </c>
      <c r="I20" s="192">
        <v>0</v>
      </c>
      <c r="J20" s="192">
        <v>0</v>
      </c>
      <c r="K20" s="190">
        <f t="shared" si="2"/>
        <v>0</v>
      </c>
      <c r="L20" s="190">
        <v>0</v>
      </c>
      <c r="M20" s="190">
        <v>0</v>
      </c>
      <c r="N20" s="190">
        <v>0</v>
      </c>
      <c r="O20" s="190">
        <v>0</v>
      </c>
      <c r="P20" s="193">
        <v>0</v>
      </c>
      <c r="Q20" s="290">
        <f t="shared" si="3"/>
        <v>58997</v>
      </c>
      <c r="S20" s="954" t="s">
        <v>160</v>
      </c>
      <c r="T20" s="833"/>
      <c r="U20" s="833"/>
      <c r="V20" s="951">
        <f>'Emp.-Detail'!AB9</f>
        <v>220</v>
      </c>
      <c r="W20" s="951"/>
      <c r="X20" s="833" t="s">
        <v>170</v>
      </c>
      <c r="Y20" s="833"/>
      <c r="Z20" s="833"/>
      <c r="AA20" s="833"/>
      <c r="AB20" s="833"/>
      <c r="AC20" s="833"/>
      <c r="AD20" s="831">
        <f>P41</f>
        <v>0</v>
      </c>
      <c r="AE20" s="831"/>
      <c r="AF20" s="955"/>
      <c r="AG20" s="17"/>
    </row>
    <row r="21" spans="1:34" ht="19.5" customHeight="1">
      <c r="A21" s="1004" t="s">
        <v>3</v>
      </c>
      <c r="B21" s="1012"/>
      <c r="C21" s="287">
        <f t="shared" ref="C21:N21" si="7">SUM(C9:C20)</f>
        <v>290880</v>
      </c>
      <c r="D21" s="287">
        <f>SUM(D9:D20)</f>
        <v>369519</v>
      </c>
      <c r="E21" s="288">
        <f>SUM(E9:E20)</f>
        <v>66040</v>
      </c>
      <c r="F21" s="287">
        <f>SUM(F9:F20)</f>
        <v>29088</v>
      </c>
      <c r="G21" s="287">
        <f t="shared" si="7"/>
        <v>0</v>
      </c>
      <c r="H21" s="287">
        <f>SUM(H9:H20)</f>
        <v>0</v>
      </c>
      <c r="I21" s="287">
        <f t="shared" si="7"/>
        <v>4278</v>
      </c>
      <c r="J21" s="287">
        <f t="shared" si="7"/>
        <v>4407</v>
      </c>
      <c r="K21" s="287">
        <f>SUM(K9:K20)</f>
        <v>869</v>
      </c>
      <c r="L21" s="287">
        <f t="shared" si="7"/>
        <v>23681</v>
      </c>
      <c r="M21" s="287">
        <f t="shared" si="7"/>
        <v>0</v>
      </c>
      <c r="N21" s="287">
        <f t="shared" si="7"/>
        <v>0</v>
      </c>
      <c r="O21" s="287">
        <f>SUM(O9:O20)</f>
        <v>0</v>
      </c>
      <c r="P21" s="289">
        <f>SUM(P9:P20)</f>
        <v>0</v>
      </c>
      <c r="Q21" s="84">
        <f>SUM(Q9:Q20)</f>
        <v>721853</v>
      </c>
      <c r="S21" s="954" t="s">
        <v>161</v>
      </c>
      <c r="T21" s="833"/>
      <c r="U21" s="833"/>
      <c r="V21" s="951">
        <f>F40</f>
        <v>0</v>
      </c>
      <c r="W21" s="951"/>
      <c r="X21" s="833" t="s">
        <v>171</v>
      </c>
      <c r="Y21" s="833"/>
      <c r="Z21" s="833"/>
      <c r="AA21" s="833"/>
      <c r="AB21" s="833"/>
      <c r="AC21" s="833"/>
      <c r="AD21" s="831">
        <f>P42</f>
        <v>0</v>
      </c>
      <c r="AE21" s="831"/>
      <c r="AF21" s="955"/>
      <c r="AG21" s="17"/>
    </row>
    <row r="22" spans="1:34" ht="19.5" customHeight="1">
      <c r="A22" s="1162" t="s">
        <v>14</v>
      </c>
      <c r="B22" s="1006"/>
      <c r="C22" s="1006"/>
      <c r="D22" s="1006"/>
      <c r="E22" s="1006"/>
      <c r="F22" s="1006"/>
      <c r="G22" s="1006"/>
      <c r="H22" s="1006"/>
      <c r="I22" s="1006"/>
      <c r="J22" s="1006"/>
      <c r="K22" s="1006"/>
      <c r="L22" s="1006"/>
      <c r="M22" s="1006"/>
      <c r="N22" s="1006"/>
      <c r="O22" s="1006"/>
      <c r="P22" s="1006"/>
      <c r="Q22" s="1163"/>
      <c r="S22" s="954" t="s">
        <v>162</v>
      </c>
      <c r="T22" s="833"/>
      <c r="U22" s="833"/>
      <c r="V22" s="951">
        <f>F41</f>
        <v>0</v>
      </c>
      <c r="W22" s="951"/>
      <c r="X22" s="833" t="s">
        <v>172</v>
      </c>
      <c r="Y22" s="833"/>
      <c r="Z22" s="833"/>
      <c r="AA22" s="833"/>
      <c r="AB22" s="833"/>
      <c r="AC22" s="833"/>
      <c r="AD22" s="831">
        <f>P44</f>
        <v>0</v>
      </c>
      <c r="AE22" s="831"/>
      <c r="AF22" s="955"/>
      <c r="AG22" s="17"/>
    </row>
    <row r="23" spans="1:34"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S23" s="954" t="s">
        <v>163</v>
      </c>
      <c r="T23" s="833"/>
      <c r="U23" s="833"/>
      <c r="V23" s="951">
        <f>F42</f>
        <v>0</v>
      </c>
      <c r="W23" s="951"/>
      <c r="X23" s="833" t="s">
        <v>173</v>
      </c>
      <c r="Y23" s="833"/>
      <c r="Z23" s="833"/>
      <c r="AA23" s="833"/>
      <c r="AB23" s="833"/>
      <c r="AC23" s="833"/>
      <c r="AD23" s="831">
        <f>P43</f>
        <v>0</v>
      </c>
      <c r="AE23" s="831"/>
      <c r="AF23" s="955"/>
      <c r="AG23" s="17"/>
    </row>
    <row r="24" spans="1:34" ht="19.5" customHeight="1">
      <c r="A24" s="1147"/>
      <c r="B24" s="1149"/>
      <c r="C24" s="1151"/>
      <c r="D24" s="1016"/>
      <c r="E24" s="295"/>
      <c r="F24" s="1153"/>
      <c r="G24" s="1155"/>
      <c r="H24" s="1153"/>
      <c r="I24" s="1155"/>
      <c r="J24" s="1155"/>
      <c r="K24" s="284"/>
      <c r="L24" s="1157"/>
      <c r="M24" s="1016"/>
      <c r="N24" s="1009"/>
      <c r="O24" s="1018"/>
      <c r="P24" s="1003"/>
      <c r="Q24" s="1011"/>
      <c r="S24" s="954" t="s">
        <v>164</v>
      </c>
      <c r="T24" s="833"/>
      <c r="U24" s="833"/>
      <c r="V24" s="951">
        <f>F43</f>
        <v>0</v>
      </c>
      <c r="W24" s="951"/>
      <c r="X24" s="956" t="s">
        <v>174</v>
      </c>
      <c r="Y24" s="956"/>
      <c r="Z24" s="956"/>
      <c r="AA24" s="956"/>
      <c r="AB24" s="956"/>
      <c r="AC24" s="956"/>
      <c r="AD24" s="831">
        <f>P45</f>
        <v>0</v>
      </c>
      <c r="AE24" s="831"/>
      <c r="AF24" s="955"/>
      <c r="AG24" s="17"/>
      <c r="AH24" s="2"/>
    </row>
    <row r="25" spans="1:34" ht="19.5" customHeight="1">
      <c r="A25" s="187">
        <v>1</v>
      </c>
      <c r="B25" s="296">
        <f>B9</f>
        <v>42430</v>
      </c>
      <c r="C25" s="192">
        <f>IF('Emp.-Detail'!F12="yes",E9)+IF('Emp.-Detail'!F12="NO",0)</f>
        <v>0</v>
      </c>
      <c r="D25" s="192">
        <f>IF('Emp.-Detail'!F12="YES",K9)+IF('Emp.-Detail'!F12="NO",I9,0)</f>
        <v>4278</v>
      </c>
      <c r="E25" s="195"/>
      <c r="F25" s="287">
        <f>SUM(C25:D25)</f>
        <v>4278</v>
      </c>
      <c r="G25" s="192">
        <v>0</v>
      </c>
      <c r="H25" s="194">
        <v>0</v>
      </c>
      <c r="I25" s="192">
        <v>3000</v>
      </c>
      <c r="J25" s="195">
        <v>0</v>
      </c>
      <c r="K25" s="195"/>
      <c r="L25" s="195">
        <v>0</v>
      </c>
      <c r="M25" s="196">
        <v>595</v>
      </c>
      <c r="N25" s="196">
        <v>0</v>
      </c>
      <c r="O25" s="196">
        <v>2000</v>
      </c>
      <c r="P25" s="192">
        <v>0</v>
      </c>
      <c r="Q25" s="297">
        <f>SUM(F25:P25)</f>
        <v>9873</v>
      </c>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f>IF('Emp.-Detail'!F12="yes",E10)+IF('Emp.-Detail'!F12="NO",0)</f>
        <v>0</v>
      </c>
      <c r="D26" s="192">
        <f>IF('Emp.-Detail'!F12="YES",K10)+IF('Emp.-Detail'!F12="NO",I10,0)</f>
        <v>0</v>
      </c>
      <c r="E26" s="195"/>
      <c r="F26" s="287">
        <f t="shared" ref="F26:F37" si="9">SUM(C26:D26)</f>
        <v>0</v>
      </c>
      <c r="G26" s="192">
        <f t="shared" ref="G26:O36" si="10">G25</f>
        <v>0</v>
      </c>
      <c r="H26" s="194">
        <f>H25</f>
        <v>0</v>
      </c>
      <c r="I26" s="192">
        <f t="shared" si="10"/>
        <v>3000</v>
      </c>
      <c r="J26" s="195">
        <f t="shared" si="10"/>
        <v>0</v>
      </c>
      <c r="K26" s="195"/>
      <c r="L26" s="195">
        <f t="shared" si="10"/>
        <v>0</v>
      </c>
      <c r="M26" s="196">
        <f t="shared" si="10"/>
        <v>595</v>
      </c>
      <c r="N26" s="196">
        <f t="shared" si="10"/>
        <v>0</v>
      </c>
      <c r="O26" s="196">
        <f t="shared" si="10"/>
        <v>2000</v>
      </c>
      <c r="P26" s="194">
        <f>'Emp.-Detail'!AB9+'Emp.-Detail'!AB9*14.5%</f>
        <v>251.9</v>
      </c>
      <c r="Q26" s="297">
        <f t="shared" ref="Q26:Q36" si="11">SUM(F26:P26)</f>
        <v>5846.9</v>
      </c>
      <c r="S26" s="1089" t="s">
        <v>279</v>
      </c>
      <c r="T26" s="1090"/>
      <c r="U26" s="1090"/>
      <c r="V26" s="1090"/>
      <c r="W26" s="1090"/>
      <c r="X26" s="1090"/>
      <c r="Y26" s="1090"/>
      <c r="Z26" s="1090"/>
      <c r="AA26" s="1091"/>
      <c r="AB26" s="942">
        <f>SUM(V17:V25)+SUM(AD17:AD25)</f>
        <v>44905</v>
      </c>
      <c r="AC26" s="957"/>
      <c r="AD26" s="1135">
        <f>IF(AB26&lt;=150000,AB26,150000)+AD25</f>
        <v>44905</v>
      </c>
      <c r="AE26" s="1136"/>
      <c r="AF26" s="1137"/>
      <c r="AG26" s="17"/>
    </row>
    <row r="27" spans="1:34" ht="19.5" customHeight="1">
      <c r="A27" s="187">
        <v>3</v>
      </c>
      <c r="B27" s="296">
        <f t="shared" si="8"/>
        <v>42491</v>
      </c>
      <c r="C27" s="192">
        <f>IF('Emp.-Detail'!F12="yes",E11)+IF('Emp.-Detail'!F12="NO",0)</f>
        <v>0</v>
      </c>
      <c r="D27" s="192">
        <f>IF('Emp.-Detail'!F12="YES",K11)+IF('Emp.-Detail'!F12="NO",I11,0)</f>
        <v>0</v>
      </c>
      <c r="E27" s="195"/>
      <c r="F27" s="287">
        <f t="shared" si="9"/>
        <v>0</v>
      </c>
      <c r="G27" s="192">
        <f t="shared" si="10"/>
        <v>0</v>
      </c>
      <c r="H27" s="194">
        <f t="shared" si="10"/>
        <v>0</v>
      </c>
      <c r="I27" s="192">
        <f t="shared" si="10"/>
        <v>3000</v>
      </c>
      <c r="J27" s="195">
        <f t="shared" si="10"/>
        <v>0</v>
      </c>
      <c r="K27" s="195"/>
      <c r="L27" s="195">
        <f t="shared" si="10"/>
        <v>0</v>
      </c>
      <c r="M27" s="196">
        <f t="shared" si="10"/>
        <v>595</v>
      </c>
      <c r="N27" s="196">
        <f t="shared" si="10"/>
        <v>0</v>
      </c>
      <c r="O27" s="196">
        <v>3000</v>
      </c>
      <c r="P27" s="192">
        <v>0</v>
      </c>
      <c r="Q27" s="297">
        <f t="shared" si="11"/>
        <v>6595</v>
      </c>
      <c r="S27" s="1085" t="s">
        <v>592</v>
      </c>
      <c r="T27" s="1086"/>
      <c r="U27" s="1086"/>
      <c r="V27" s="1086"/>
      <c r="W27" s="1086"/>
      <c r="X27" s="1086"/>
      <c r="Y27" s="1086"/>
      <c r="Z27" s="1086"/>
      <c r="AA27" s="1086"/>
      <c r="AB27" s="1087">
        <f>AB5</f>
        <v>0</v>
      </c>
      <c r="AC27" s="1088"/>
      <c r="AD27" s="831">
        <f>AD15-(AD26+AB5)</f>
        <v>676948</v>
      </c>
      <c r="AE27" s="831"/>
      <c r="AF27" s="955"/>
      <c r="AG27" s="17"/>
    </row>
    <row r="28" spans="1:34" ht="19.5" customHeight="1">
      <c r="A28" s="187">
        <v>4</v>
      </c>
      <c r="B28" s="296">
        <f t="shared" si="8"/>
        <v>42522</v>
      </c>
      <c r="C28" s="192">
        <f>IF('Emp.-Detail'!F12="yes",E12)+IF('Emp.-Detail'!F12="NO",0)</f>
        <v>0</v>
      </c>
      <c r="D28" s="192">
        <f>IF('Emp.-Detail'!F12="YES",K12)+IF('Emp.-Detail'!F12="NO",I12,0)</f>
        <v>0</v>
      </c>
      <c r="E28" s="195"/>
      <c r="F28" s="287">
        <f t="shared" si="9"/>
        <v>0</v>
      </c>
      <c r="G28" s="192">
        <f t="shared" si="10"/>
        <v>0</v>
      </c>
      <c r="H28" s="194">
        <f t="shared" si="10"/>
        <v>0</v>
      </c>
      <c r="I28" s="192">
        <f t="shared" si="10"/>
        <v>3000</v>
      </c>
      <c r="J28" s="195">
        <f t="shared" si="10"/>
        <v>0</v>
      </c>
      <c r="K28" s="195"/>
      <c r="L28" s="195">
        <f t="shared" si="10"/>
        <v>0</v>
      </c>
      <c r="M28" s="196">
        <f t="shared" si="10"/>
        <v>595</v>
      </c>
      <c r="N28" s="196">
        <f t="shared" si="10"/>
        <v>0</v>
      </c>
      <c r="O28" s="196">
        <f t="shared" si="10"/>
        <v>3000</v>
      </c>
      <c r="P28" s="192">
        <v>0</v>
      </c>
      <c r="Q28" s="297">
        <f t="shared" si="11"/>
        <v>6595</v>
      </c>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f>IF('Emp.-Detail'!F12="yes",E13)+IF('Emp.-Detail'!F12="NO",0)</f>
        <v>0</v>
      </c>
      <c r="D29" s="192">
        <f>IF('Emp.-Detail'!F12="YES",K13)+IF('Emp.-Detail'!F12="NO",I13,0)</f>
        <v>0</v>
      </c>
      <c r="E29" s="195"/>
      <c r="F29" s="287">
        <f t="shared" si="9"/>
        <v>0</v>
      </c>
      <c r="G29" s="192">
        <f t="shared" si="10"/>
        <v>0</v>
      </c>
      <c r="H29" s="194">
        <f t="shared" si="10"/>
        <v>0</v>
      </c>
      <c r="I29" s="192">
        <f t="shared" si="10"/>
        <v>3000</v>
      </c>
      <c r="J29" s="195">
        <f t="shared" si="10"/>
        <v>0</v>
      </c>
      <c r="K29" s="195"/>
      <c r="L29" s="195">
        <f t="shared" si="10"/>
        <v>0</v>
      </c>
      <c r="M29" s="196">
        <f t="shared" si="10"/>
        <v>595</v>
      </c>
      <c r="N29" s="196">
        <f t="shared" si="10"/>
        <v>0</v>
      </c>
      <c r="O29" s="196">
        <f t="shared" si="10"/>
        <v>3000</v>
      </c>
      <c r="P29" s="192">
        <v>0</v>
      </c>
      <c r="Q29" s="297">
        <f t="shared" si="11"/>
        <v>6595</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f>IF('Emp.-Detail'!F12="yes",E14)+IF('Emp.-Detail'!F12="NO",0)</f>
        <v>0</v>
      </c>
      <c r="D30" s="192">
        <f>IF('Emp.-Detail'!F12="YES",K14)+IF('Emp.-Detail'!F12="NO",J14,0)</f>
        <v>4407</v>
      </c>
      <c r="E30" s="195"/>
      <c r="F30" s="287">
        <f t="shared" si="9"/>
        <v>4407</v>
      </c>
      <c r="G30" s="192">
        <f t="shared" si="10"/>
        <v>0</v>
      </c>
      <c r="H30" s="194">
        <f t="shared" si="10"/>
        <v>0</v>
      </c>
      <c r="I30" s="192">
        <f t="shared" si="10"/>
        <v>3000</v>
      </c>
      <c r="J30" s="195">
        <f t="shared" si="10"/>
        <v>0</v>
      </c>
      <c r="K30" s="195"/>
      <c r="L30" s="195">
        <f t="shared" si="10"/>
        <v>0</v>
      </c>
      <c r="M30" s="196">
        <f t="shared" si="10"/>
        <v>595</v>
      </c>
      <c r="N30" s="196">
        <f t="shared" si="10"/>
        <v>0</v>
      </c>
      <c r="O30" s="196">
        <f t="shared" si="10"/>
        <v>3000</v>
      </c>
      <c r="P30" s="192">
        <v>0</v>
      </c>
      <c r="Q30" s="297">
        <f t="shared" si="11"/>
        <v>11002</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f>IF('Emp.-Detail'!F12="yes",E15)+IF('Emp.-Detail'!F12="NO",0)</f>
        <v>0</v>
      </c>
      <c r="D31" s="192">
        <f>IF('Emp.-Detail'!F12="YES",K15)+IF('Emp.-Detail'!F12="NO",J15,0)</f>
        <v>0</v>
      </c>
      <c r="E31" s="195"/>
      <c r="F31" s="287">
        <f t="shared" si="9"/>
        <v>0</v>
      </c>
      <c r="G31" s="192">
        <f t="shared" si="10"/>
        <v>0</v>
      </c>
      <c r="H31" s="194">
        <f t="shared" si="10"/>
        <v>0</v>
      </c>
      <c r="I31" s="192">
        <f t="shared" si="10"/>
        <v>3000</v>
      </c>
      <c r="J31" s="195">
        <f t="shared" si="10"/>
        <v>0</v>
      </c>
      <c r="K31" s="195"/>
      <c r="L31" s="195">
        <f t="shared" si="10"/>
        <v>0</v>
      </c>
      <c r="M31" s="196">
        <f t="shared" si="10"/>
        <v>595</v>
      </c>
      <c r="N31" s="196">
        <f t="shared" si="10"/>
        <v>0</v>
      </c>
      <c r="O31" s="196">
        <f t="shared" si="10"/>
        <v>3000</v>
      </c>
      <c r="P31" s="192">
        <v>0</v>
      </c>
      <c r="Q31" s="297">
        <f t="shared" si="11"/>
        <v>6595</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f>IF('Emp.-Detail'!F12="yes",E16)+IF('Emp.-Detail'!F12="NO",0)</f>
        <v>0</v>
      </c>
      <c r="D32" s="192">
        <f>IF('Emp.-Detail'!F12="YES",K16)+IF('Emp.-Detail'!F12="NO",J16,0)</f>
        <v>0</v>
      </c>
      <c r="E32" s="195"/>
      <c r="F32" s="287">
        <f t="shared" si="9"/>
        <v>0</v>
      </c>
      <c r="G32" s="192">
        <f t="shared" si="10"/>
        <v>0</v>
      </c>
      <c r="H32" s="194">
        <f t="shared" si="10"/>
        <v>0</v>
      </c>
      <c r="I32" s="192">
        <f t="shared" si="10"/>
        <v>3000</v>
      </c>
      <c r="J32" s="195">
        <f t="shared" si="10"/>
        <v>0</v>
      </c>
      <c r="K32" s="195"/>
      <c r="L32" s="195">
        <f t="shared" si="10"/>
        <v>0</v>
      </c>
      <c r="M32" s="196">
        <f t="shared" si="10"/>
        <v>595</v>
      </c>
      <c r="N32" s="196">
        <f t="shared" si="10"/>
        <v>0</v>
      </c>
      <c r="O32" s="196">
        <f t="shared" si="10"/>
        <v>3000</v>
      </c>
      <c r="P32" s="192">
        <v>0</v>
      </c>
      <c r="Q32" s="297">
        <f t="shared" si="11"/>
        <v>6595</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f>IF('Emp.-Detail'!F12="yes",E17)+IF('Emp.-Detail'!F12="NO",0)</f>
        <v>0</v>
      </c>
      <c r="D33" s="192">
        <f>IF('Emp.-Detail'!F12="YES",K17)+IF('Emp.-Detail'!F12="NO",J17,0)</f>
        <v>0</v>
      </c>
      <c r="E33" s="195"/>
      <c r="F33" s="287">
        <f t="shared" si="9"/>
        <v>0</v>
      </c>
      <c r="G33" s="192">
        <f t="shared" si="10"/>
        <v>0</v>
      </c>
      <c r="H33" s="194">
        <f t="shared" si="10"/>
        <v>0</v>
      </c>
      <c r="I33" s="192">
        <f t="shared" si="10"/>
        <v>3000</v>
      </c>
      <c r="J33" s="195">
        <f t="shared" si="10"/>
        <v>0</v>
      </c>
      <c r="K33" s="195"/>
      <c r="L33" s="195">
        <f t="shared" si="10"/>
        <v>0</v>
      </c>
      <c r="M33" s="196">
        <f t="shared" si="10"/>
        <v>595</v>
      </c>
      <c r="N33" s="196">
        <f t="shared" si="10"/>
        <v>0</v>
      </c>
      <c r="O33" s="196">
        <f t="shared" si="10"/>
        <v>3000</v>
      </c>
      <c r="P33" s="192">
        <v>0</v>
      </c>
      <c r="Q33" s="297">
        <f t="shared" si="11"/>
        <v>6595</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f>IF('Emp.-Detail'!F12="yes",E18)+IF('Emp.-Detail'!F12="NO",0)</f>
        <v>0</v>
      </c>
      <c r="D34" s="192">
        <f>IF('Emp.-Detail'!F12="YES",K18)+IF('Emp.-Detail'!F12="NO",J18,0)</f>
        <v>0</v>
      </c>
      <c r="E34" s="195"/>
      <c r="F34" s="287">
        <f t="shared" si="9"/>
        <v>0</v>
      </c>
      <c r="G34" s="192">
        <f t="shared" si="10"/>
        <v>0</v>
      </c>
      <c r="H34" s="194">
        <f t="shared" si="10"/>
        <v>0</v>
      </c>
      <c r="I34" s="192">
        <f t="shared" si="10"/>
        <v>3000</v>
      </c>
      <c r="J34" s="195">
        <f t="shared" si="10"/>
        <v>0</v>
      </c>
      <c r="K34" s="195"/>
      <c r="L34" s="195">
        <f t="shared" si="10"/>
        <v>0</v>
      </c>
      <c r="M34" s="196">
        <f t="shared" si="10"/>
        <v>595</v>
      </c>
      <c r="N34" s="196">
        <f t="shared" si="10"/>
        <v>0</v>
      </c>
      <c r="O34" s="196">
        <f t="shared" si="10"/>
        <v>3000</v>
      </c>
      <c r="P34" s="192">
        <v>0</v>
      </c>
      <c r="Q34" s="297">
        <f t="shared" si="11"/>
        <v>6595</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f>IF('Emp.-Detail'!F12="yes",E19)+IF('Emp.-Detail'!F12="NO",0)</f>
        <v>0</v>
      </c>
      <c r="D35" s="192">
        <f>IF('Emp.-Detail'!F12="YES",K19)+IF('Emp.-Detail'!F12="NO",J19,0)</f>
        <v>0</v>
      </c>
      <c r="E35" s="195"/>
      <c r="F35" s="287">
        <f t="shared" si="9"/>
        <v>0</v>
      </c>
      <c r="G35" s="192">
        <f t="shared" si="10"/>
        <v>0</v>
      </c>
      <c r="H35" s="194">
        <f t="shared" si="10"/>
        <v>0</v>
      </c>
      <c r="I35" s="192">
        <f t="shared" si="10"/>
        <v>3000</v>
      </c>
      <c r="J35" s="195">
        <f t="shared" si="10"/>
        <v>0</v>
      </c>
      <c r="K35" s="195"/>
      <c r="L35" s="195">
        <f t="shared" si="10"/>
        <v>0</v>
      </c>
      <c r="M35" s="196">
        <f t="shared" si="10"/>
        <v>595</v>
      </c>
      <c r="N35" s="196">
        <f t="shared" si="10"/>
        <v>0</v>
      </c>
      <c r="O35" s="196">
        <f t="shared" si="10"/>
        <v>3000</v>
      </c>
      <c r="P35" s="192">
        <v>0</v>
      </c>
      <c r="Q35" s="297">
        <f t="shared" si="11"/>
        <v>6595</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f>IF('Emp.-Detail'!F12="yes",E20)+IF('Emp.-Detail'!F12="NO",0)</f>
        <v>0</v>
      </c>
      <c r="D36" s="192">
        <f>IF('Emp.-Detail'!F12="YES",K20)+IF('Emp.-Detail'!F12="NO",J20,0)</f>
        <v>0</v>
      </c>
      <c r="E36" s="195"/>
      <c r="F36" s="287">
        <f t="shared" si="9"/>
        <v>0</v>
      </c>
      <c r="G36" s="192">
        <f t="shared" si="10"/>
        <v>0</v>
      </c>
      <c r="H36" s="194">
        <f t="shared" si="10"/>
        <v>0</v>
      </c>
      <c r="I36" s="192">
        <f t="shared" si="10"/>
        <v>3000</v>
      </c>
      <c r="J36" s="195">
        <f t="shared" si="10"/>
        <v>0</v>
      </c>
      <c r="K36" s="195"/>
      <c r="L36" s="195">
        <f t="shared" si="10"/>
        <v>0</v>
      </c>
      <c r="M36" s="196">
        <f t="shared" si="10"/>
        <v>595</v>
      </c>
      <c r="N36" s="196">
        <f t="shared" si="10"/>
        <v>0</v>
      </c>
      <c r="O36" s="196">
        <f t="shared" si="10"/>
        <v>3000</v>
      </c>
      <c r="P36" s="192">
        <v>0</v>
      </c>
      <c r="Q36" s="297">
        <f t="shared" si="11"/>
        <v>6595</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0</v>
      </c>
      <c r="D37" s="287">
        <f>SUM(D25:D36)</f>
        <v>8685</v>
      </c>
      <c r="E37" s="306"/>
      <c r="F37" s="307">
        <f t="shared" si="9"/>
        <v>8685</v>
      </c>
      <c r="G37" s="287">
        <f t="shared" ref="G37:Q37" si="12">SUM(G25:G36)</f>
        <v>0</v>
      </c>
      <c r="H37" s="288">
        <f>SUM(H25:H36)</f>
        <v>0</v>
      </c>
      <c r="I37" s="287">
        <f t="shared" si="12"/>
        <v>36000</v>
      </c>
      <c r="J37" s="306">
        <f t="shared" si="12"/>
        <v>0</v>
      </c>
      <c r="K37" s="306"/>
      <c r="L37" s="306">
        <f t="shared" si="12"/>
        <v>0</v>
      </c>
      <c r="M37" s="308">
        <f t="shared" si="12"/>
        <v>7140</v>
      </c>
      <c r="N37" s="308">
        <f t="shared" si="12"/>
        <v>0</v>
      </c>
      <c r="O37" s="308">
        <f t="shared" si="12"/>
        <v>34000</v>
      </c>
      <c r="P37" s="288">
        <f t="shared" si="12"/>
        <v>251.9</v>
      </c>
      <c r="Q37" s="305">
        <f t="shared" si="12"/>
        <v>86076.9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721853</v>
      </c>
      <c r="D38" s="860"/>
      <c r="E38" s="309"/>
      <c r="F38" s="310"/>
      <c r="G38" s="1001" t="s">
        <v>13</v>
      </c>
      <c r="H38" s="1001"/>
      <c r="I38" s="1001"/>
      <c r="J38" s="860">
        <f>Q37</f>
        <v>86076.9</v>
      </c>
      <c r="K38" s="860"/>
      <c r="L38" s="860"/>
      <c r="M38" s="310"/>
      <c r="N38" s="998" t="s">
        <v>15</v>
      </c>
      <c r="O38" s="998"/>
      <c r="P38" s="860">
        <f>Q21-Q37</f>
        <v>635776.1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676948</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676950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60390</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60390</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1208</v>
      </c>
      <c r="V43" s="949"/>
      <c r="W43" s="949"/>
      <c r="X43" s="1067" t="s">
        <v>84</v>
      </c>
      <c r="Y43" s="1067"/>
      <c r="Z43" s="1067"/>
      <c r="AA43" s="953">
        <f>ROUND((AD42*1%),0)</f>
        <v>604</v>
      </c>
      <c r="AB43" s="953"/>
      <c r="AC43" s="953"/>
      <c r="AD43" s="951">
        <f>U43+AA43</f>
        <v>1812</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62202</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IF('Emp.-Detail'!F12="NO",0,ROUND(E21+K21,0))</f>
        <v>0</v>
      </c>
      <c r="Q46" s="943"/>
      <c r="R46" s="22"/>
      <c r="S46" s="1071" t="s">
        <v>87</v>
      </c>
      <c r="T46" s="1072"/>
      <c r="U46" s="1072"/>
      <c r="V46" s="1072"/>
      <c r="W46" s="1072"/>
      <c r="X46" s="1072"/>
      <c r="Y46" s="1072"/>
      <c r="Z46" s="1072"/>
      <c r="AA46" s="1072"/>
      <c r="AB46" s="1072"/>
      <c r="AC46" s="1072"/>
      <c r="AD46" s="796">
        <f>AD44-AD45</f>
        <v>62202</v>
      </c>
      <c r="AE46" s="860"/>
      <c r="AF46" s="861"/>
      <c r="AG46" s="17"/>
    </row>
    <row r="47" spans="1:33" ht="19.5" customHeight="1">
      <c r="A47" s="871" t="s">
        <v>16</v>
      </c>
      <c r="B47" s="872"/>
      <c r="C47" s="872"/>
      <c r="D47" s="872"/>
      <c r="E47" s="872"/>
      <c r="F47" s="872"/>
      <c r="G47" s="872"/>
      <c r="H47" s="872"/>
      <c r="I47" s="872"/>
      <c r="J47" s="872"/>
      <c r="K47" s="212"/>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14"/>
      <c r="F48" s="828" t="s">
        <v>106</v>
      </c>
      <c r="G48" s="829"/>
      <c r="H48" s="824"/>
      <c r="I48" s="862">
        <v>0</v>
      </c>
      <c r="J48" s="863"/>
      <c r="K48" s="214"/>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14"/>
      <c r="F49" s="828" t="s">
        <v>188</v>
      </c>
      <c r="G49" s="829"/>
      <c r="H49" s="824"/>
      <c r="I49" s="862">
        <v>0</v>
      </c>
      <c r="J49" s="863"/>
      <c r="K49" s="214"/>
      <c r="L49" s="1194" t="s">
        <v>194</v>
      </c>
      <c r="M49" s="1194"/>
      <c r="N49" s="1194"/>
      <c r="O49" s="1020">
        <v>0</v>
      </c>
      <c r="P49" s="1020"/>
      <c r="Q49" s="216">
        <v>0</v>
      </c>
      <c r="R49" s="176"/>
      <c r="S49" s="1080">
        <f>SUM(O25:O27)</f>
        <v>7000</v>
      </c>
      <c r="T49" s="1081"/>
      <c r="U49" s="1081"/>
      <c r="V49" s="1070">
        <f>SUM(O28:O30)</f>
        <v>9000</v>
      </c>
      <c r="W49" s="1070"/>
      <c r="X49" s="1070"/>
      <c r="Y49" s="1070">
        <f>SUM(O31:O33)</f>
        <v>9000</v>
      </c>
      <c r="Z49" s="1070"/>
      <c r="AA49" s="1070"/>
      <c r="AB49" s="951">
        <f>SUM(O34:O36)</f>
        <v>9000</v>
      </c>
      <c r="AC49" s="951"/>
      <c r="AD49" s="951"/>
      <c r="AE49" s="951"/>
      <c r="AF49" s="313"/>
      <c r="AG49" s="151"/>
    </row>
    <row r="50" spans="1:35" ht="19.5" customHeight="1">
      <c r="A50" s="823" t="s">
        <v>79</v>
      </c>
      <c r="B50" s="824"/>
      <c r="C50" s="1020">
        <v>0</v>
      </c>
      <c r="D50" s="1020"/>
      <c r="E50" s="210"/>
      <c r="F50" s="828" t="s">
        <v>81</v>
      </c>
      <c r="G50" s="829"/>
      <c r="H50" s="824"/>
      <c r="I50" s="1020">
        <v>0</v>
      </c>
      <c r="J50" s="862"/>
      <c r="K50" s="210"/>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34000</v>
      </c>
      <c r="AE50" s="796"/>
      <c r="AF50" s="797"/>
      <c r="AG50" s="17"/>
    </row>
    <row r="51" spans="1:35" ht="19.5" customHeight="1">
      <c r="A51" s="823" t="s">
        <v>80</v>
      </c>
      <c r="B51" s="824"/>
      <c r="C51" s="862">
        <v>0</v>
      </c>
      <c r="D51" s="864"/>
      <c r="E51" s="215"/>
      <c r="F51" s="828" t="s">
        <v>142</v>
      </c>
      <c r="G51" s="829"/>
      <c r="H51" s="824"/>
      <c r="I51" s="1020">
        <v>0</v>
      </c>
      <c r="J51" s="862"/>
      <c r="K51" s="210"/>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28202</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10"/>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10"/>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11"/>
      <c r="L55" s="1175" t="s">
        <v>198</v>
      </c>
      <c r="M55" s="1175"/>
      <c r="N55" s="1175"/>
      <c r="O55" s="1177">
        <v>0</v>
      </c>
      <c r="P55" s="1177"/>
      <c r="Q55" s="1023"/>
      <c r="R55" s="70"/>
      <c r="S55" s="1202"/>
      <c r="T55" s="1203"/>
      <c r="U55" s="1203"/>
      <c r="V55" s="1203"/>
      <c r="W55" s="765"/>
      <c r="X55" s="765"/>
      <c r="Y55" s="765"/>
      <c r="Z55" s="765"/>
      <c r="AA55" s="765"/>
      <c r="AB55" s="1203" t="str">
        <f>S3</f>
        <v>BHAGIRATH GURDA</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721853</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721853</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721853</v>
      </c>
      <c r="AC60" s="787"/>
      <c r="AD60" s="1223"/>
      <c r="AE60" s="1224"/>
      <c r="AF60" s="236"/>
      <c r="AG60" s="17"/>
    </row>
    <row r="61" spans="1:35" ht="19.350000000000001" customHeight="1">
      <c r="A61" s="888" t="str">
        <f>'DDO '!L8</f>
        <v>LADURAM JAT</v>
      </c>
      <c r="B61" s="889"/>
      <c r="C61" s="890"/>
      <c r="D61" s="1041" t="str">
        <f>'DDO '!L22</f>
        <v>Govt. PCB Sr. Sec. School, Sujangarh</v>
      </c>
      <c r="E61" s="1042"/>
      <c r="F61" s="1042"/>
      <c r="G61" s="1042"/>
      <c r="H61" s="1042"/>
      <c r="I61" s="1043"/>
      <c r="J61" s="1234" t="str">
        <f>D4</f>
        <v>BHAGIRATH GURDA</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ADZPG8777C</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9784158682</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721853</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'Emp.-Detail'!O12</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8685</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194041</v>
      </c>
      <c r="K69" s="788"/>
      <c r="L69" s="788"/>
      <c r="M69" s="776"/>
      <c r="N69" s="775">
        <f>SUM(O25:O27)</f>
        <v>7000</v>
      </c>
      <c r="O69" s="776"/>
      <c r="P69" s="775">
        <f>N69</f>
        <v>7000</v>
      </c>
      <c r="Q69" s="789"/>
      <c r="R69" s="88"/>
      <c r="S69" s="782" t="s">
        <v>69</v>
      </c>
      <c r="T69" s="783"/>
      <c r="U69" s="783"/>
      <c r="V69" s="783"/>
      <c r="W69" s="783"/>
      <c r="X69" s="783"/>
      <c r="Y69" s="784"/>
      <c r="Z69" s="775">
        <f>V19+V21+V22+V25</f>
        <v>0</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175299</v>
      </c>
      <c r="K70" s="788"/>
      <c r="L70" s="788"/>
      <c r="M70" s="776"/>
      <c r="N70" s="775">
        <f>SUM(O28:O30)</f>
        <v>9000</v>
      </c>
      <c r="O70" s="776"/>
      <c r="P70" s="775">
        <f>N70</f>
        <v>9000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175522</v>
      </c>
      <c r="K71" s="788"/>
      <c r="L71" s="788"/>
      <c r="M71" s="776"/>
      <c r="N71" s="775">
        <f>SUM(O31:O33)</f>
        <v>9000</v>
      </c>
      <c r="O71" s="776"/>
      <c r="P71" s="775">
        <f t="shared" ref="P71:P72" si="13">N71</f>
        <v>9000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176991</v>
      </c>
      <c r="K72" s="788"/>
      <c r="L72" s="788"/>
      <c r="M72" s="776"/>
      <c r="N72" s="775">
        <f>SUM(O34:O36)</f>
        <v>9000</v>
      </c>
      <c r="O72" s="776"/>
      <c r="P72" s="775">
        <f t="shared" si="13"/>
        <v>9000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721853</v>
      </c>
      <c r="K73" s="808"/>
      <c r="L73" s="808"/>
      <c r="M73" s="809"/>
      <c r="N73" s="845">
        <f>SUM(N69:N72)</f>
        <v>34000</v>
      </c>
      <c r="O73" s="809"/>
      <c r="P73" s="845">
        <f>SUM(P69:P72)</f>
        <v>34000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2000</v>
      </c>
      <c r="E76" s="219"/>
      <c r="F76" s="219">
        <f>O26</f>
        <v>2000</v>
      </c>
      <c r="G76" s="219">
        <f>O27</f>
        <v>3000</v>
      </c>
      <c r="H76" s="219">
        <f>O28</f>
        <v>3000</v>
      </c>
      <c r="I76" s="219">
        <f>O29</f>
        <v>3000</v>
      </c>
      <c r="J76" s="219">
        <f>O30</f>
        <v>3000</v>
      </c>
      <c r="K76" s="219"/>
      <c r="L76" s="219">
        <f>O31</f>
        <v>3000</v>
      </c>
      <c r="M76" s="219">
        <f>O32</f>
        <v>3000</v>
      </c>
      <c r="N76" s="219">
        <f>O33</f>
        <v>3000</v>
      </c>
      <c r="O76" s="219">
        <f>O34</f>
        <v>3000</v>
      </c>
      <c r="P76" s="219">
        <f>O35</f>
        <v>3000</v>
      </c>
      <c r="Q76" s="220">
        <f>O36</f>
        <v>3000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44905</v>
      </c>
      <c r="AC81" s="1113"/>
      <c r="AD81" s="773">
        <f>AD26</f>
        <v>44905</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'Emp.-Detail'!N12</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'Emp.-Detail'!N12</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'Emp.-Detail'!N12</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'Emp.-Detail'!J12</f>
        <v>0</v>
      </c>
      <c r="C87" s="788"/>
      <c r="D87" s="776"/>
      <c r="E87" s="257"/>
      <c r="F87" s="1233" t="str">
        <f>'Emp.-Detail'!K12</f>
        <v>0</v>
      </c>
      <c r="G87" s="1243"/>
      <c r="H87" s="1243"/>
      <c r="I87" s="1244"/>
      <c r="J87" s="810" t="str">
        <f>'Emp.-Detail'!L12</f>
        <v>00/00/0000</v>
      </c>
      <c r="K87" s="811"/>
      <c r="L87" s="811"/>
      <c r="M87" s="812"/>
      <c r="N87" s="1233" t="str">
        <f>'Emp.-Detail'!M12</f>
        <v>00</v>
      </c>
      <c r="O87" s="1244"/>
      <c r="P87" s="793" t="str">
        <f>'Emp.-Detail'!N12</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34000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THIRTY  FOUR  Thousand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44905</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676950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60390</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1812</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62202</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62202</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721853</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721853</v>
      </c>
      <c r="P104" s="776"/>
      <c r="Q104" s="258">
        <f>O104</f>
        <v>721853</v>
      </c>
      <c r="R104" s="235"/>
      <c r="S104" s="254"/>
      <c r="T104" s="229" t="str">
        <f>'DDO '!L10</f>
        <v>PRINCIPAL</v>
      </c>
      <c r="U104" s="229"/>
      <c r="V104" s="780" t="s">
        <v>51</v>
      </c>
      <c r="W104" s="780"/>
      <c r="X104" s="780"/>
      <c r="Y104" s="780"/>
      <c r="Z104" s="770">
        <f>AD100</f>
        <v>62202</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SIXTY  TWO  Thousand  TWO  Hundred  TWO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721853</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721853</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721853</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G113" s="17"/>
    </row>
    <row r="114" spans="6:33" ht="18.95" hidden="1" customHeight="1">
      <c r="R114" s="235"/>
      <c r="T114" s="70"/>
    </row>
    <row r="115" spans="6:33" ht="18.95" hidden="1" customHeight="1">
      <c r="R115" s="235"/>
      <c r="V115" s="70"/>
    </row>
    <row r="116" spans="6:33" ht="20.100000000000001" hidden="1" customHeight="1">
      <c r="M116" s="88"/>
      <c r="N116" s="88"/>
      <c r="O116" s="88"/>
      <c r="P116" s="88"/>
      <c r="Q116" s="230"/>
      <c r="R116" s="235"/>
      <c r="S116" s="235"/>
      <c r="T116" s="235"/>
      <c r="U116" s="235"/>
      <c r="V116" s="235"/>
      <c r="W116" s="235"/>
      <c r="X116" s="263"/>
      <c r="Y116" s="88"/>
      <c r="Z116" s="88"/>
      <c r="AA116" s="235"/>
      <c r="AB116" s="235"/>
      <c r="AC116" s="235"/>
      <c r="AD116" s="235"/>
      <c r="AE116" s="235"/>
    </row>
    <row r="117" spans="6:33" ht="20.100000000000001" hidden="1" customHeight="1">
      <c r="O117" s="70"/>
      <c r="R117" s="235"/>
      <c r="X117" s="88"/>
      <c r="Y117" s="88"/>
      <c r="Z117" s="88"/>
      <c r="AA117" s="88"/>
      <c r="AB117" s="88"/>
      <c r="AC117" s="88"/>
      <c r="AD117" s="88"/>
      <c r="AE117" s="88"/>
      <c r="AF117" s="252"/>
      <c r="AG117" s="2"/>
    </row>
    <row r="118" spans="6:33" ht="20.100000000000001" hidden="1" customHeight="1">
      <c r="R118" s="235"/>
      <c r="T118" s="1092"/>
      <c r="U118" s="1092"/>
      <c r="V118" s="1092"/>
      <c r="W118" s="1092"/>
      <c r="X118" s="1092"/>
      <c r="Y118" s="1092"/>
      <c r="Z118" s="253"/>
      <c r="AA118" s="252"/>
      <c r="AB118" s="252"/>
      <c r="AC118" s="252"/>
      <c r="AD118" s="252"/>
      <c r="AE118" s="252"/>
      <c r="AG118" s="2"/>
    </row>
    <row r="119" spans="6:33" ht="15" hidden="1" customHeight="1">
      <c r="P119" s="70"/>
      <c r="R119" s="235"/>
      <c r="S119" s="235"/>
      <c r="T119" s="235"/>
      <c r="U119" s="235"/>
      <c r="V119" s="88"/>
      <c r="W119" s="235"/>
      <c r="X119" s="88"/>
      <c r="Y119" s="88"/>
      <c r="Z119" s="137"/>
      <c r="AA119" s="252"/>
      <c r="AB119" s="137"/>
      <c r="AC119" s="137"/>
      <c r="AD119" s="137"/>
      <c r="AE119" s="137"/>
      <c r="AG119" s="2"/>
    </row>
    <row r="120" spans="6:33" ht="15" hidden="1" customHeight="1">
      <c r="O120" s="70"/>
      <c r="R120" s="235"/>
      <c r="S120" s="88"/>
      <c r="T120" s="88"/>
      <c r="U120" s="88"/>
      <c r="V120" s="88"/>
      <c r="W120" s="88"/>
      <c r="X120" s="88"/>
      <c r="Y120" s="88"/>
      <c r="Z120" s="88"/>
      <c r="AA120" s="88"/>
      <c r="AB120" s="88"/>
      <c r="AC120" s="88"/>
      <c r="AD120" s="88"/>
      <c r="AE120" s="88"/>
      <c r="AF120" s="70"/>
      <c r="AG120" s="2"/>
    </row>
    <row r="121" spans="6:33" ht="15" hidden="1" customHeight="1">
      <c r="M121" s="70"/>
      <c r="N121" s="70"/>
      <c r="R121" s="235"/>
      <c r="S121" s="88"/>
      <c r="T121" s="88"/>
      <c r="U121" s="88"/>
      <c r="V121" s="88"/>
      <c r="W121" s="88"/>
      <c r="X121" s="88"/>
      <c r="Y121" s="88"/>
      <c r="Z121" s="88"/>
      <c r="AA121" s="88"/>
      <c r="AB121" s="88"/>
      <c r="AC121" s="88"/>
      <c r="AD121" s="88"/>
      <c r="AE121" s="88"/>
      <c r="AF121" s="70"/>
    </row>
    <row r="122" spans="6:33" ht="15" hidden="1" customHeight="1">
      <c r="M122" s="70"/>
      <c r="R122" s="235"/>
      <c r="S122" s="88"/>
      <c r="T122" s="88"/>
      <c r="U122" s="88"/>
      <c r="V122" s="88"/>
      <c r="W122" s="88"/>
      <c r="X122" s="88"/>
      <c r="Y122" s="88"/>
      <c r="Z122" s="88"/>
      <c r="AA122" s="88"/>
      <c r="AB122" s="88"/>
      <c r="AC122" s="88"/>
      <c r="AD122" s="88"/>
      <c r="AE122" s="88"/>
      <c r="AG122" s="2"/>
    </row>
    <row r="123" spans="6:33" ht="15" hidden="1" customHeight="1">
      <c r="Y123" s="70"/>
      <c r="Z123" s="70"/>
      <c r="AA123" s="70"/>
      <c r="AE123" s="70"/>
    </row>
    <row r="124" spans="6:33" ht="15" hidden="1" customHeight="1"/>
    <row r="125" spans="6:33" ht="15" hidden="1" customHeight="1"/>
    <row r="126" spans="6:33" ht="15" hidden="1" customHeight="1"/>
    <row r="127" spans="6:33" ht="15" hidden="1" customHeight="1"/>
    <row r="128" spans="6:33" ht="15" hidden="1" customHeight="1">
      <c r="T128" s="70"/>
      <c r="V128" s="70"/>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M110:P110"/>
    <mergeCell ref="S110:T110"/>
    <mergeCell ref="U110:W110"/>
    <mergeCell ref="D111:I111"/>
    <mergeCell ref="J111:L111"/>
    <mergeCell ref="M111:N111"/>
    <mergeCell ref="A104:L104"/>
    <mergeCell ref="M104:N107"/>
    <mergeCell ref="O104:P104"/>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M102:N102"/>
    <mergeCell ref="S102:AE102"/>
    <mergeCell ref="A103:L103"/>
    <mergeCell ref="M103:N103"/>
    <mergeCell ref="T103:V103"/>
    <mergeCell ref="W103:Y103"/>
    <mergeCell ref="Z103:AB103"/>
    <mergeCell ref="AC103:AE103"/>
    <mergeCell ref="A100:L100"/>
    <mergeCell ref="M100:N100"/>
    <mergeCell ref="O100:P103"/>
    <mergeCell ref="Q100:Q103"/>
    <mergeCell ref="S100:AC100"/>
    <mergeCell ref="AD100:AE100"/>
    <mergeCell ref="A101:L101"/>
    <mergeCell ref="M101:N101"/>
    <mergeCell ref="S101:AE101"/>
    <mergeCell ref="A102:L102"/>
    <mergeCell ref="A98:Q98"/>
    <mergeCell ref="S98:AC98"/>
    <mergeCell ref="AD98:AE98"/>
    <mergeCell ref="A99:Q99"/>
    <mergeCell ref="S99:AC99"/>
    <mergeCell ref="AD99:AE99"/>
    <mergeCell ref="AD96:AE96"/>
    <mergeCell ref="A97:J97"/>
    <mergeCell ref="L97:M97"/>
    <mergeCell ref="N97:Q97"/>
    <mergeCell ref="S97:AC97"/>
    <mergeCell ref="AD97:AE97"/>
    <mergeCell ref="A95:B95"/>
    <mergeCell ref="C95:G95"/>
    <mergeCell ref="H95:Q95"/>
    <mergeCell ref="S95:AC95"/>
    <mergeCell ref="AD95:AE95"/>
    <mergeCell ref="A96:B96"/>
    <mergeCell ref="C96:G96"/>
    <mergeCell ref="H96:J96"/>
    <mergeCell ref="L96:Q96"/>
    <mergeCell ref="S96:AC96"/>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89:Q89"/>
    <mergeCell ref="S89:Y89"/>
    <mergeCell ref="Z89:AA89"/>
    <mergeCell ref="AB89:AC89"/>
    <mergeCell ref="B90:D90"/>
    <mergeCell ref="F90:I90"/>
    <mergeCell ref="J90:N90"/>
    <mergeCell ref="O90:Q90"/>
    <mergeCell ref="S90:Y90"/>
    <mergeCell ref="Z90:AA90"/>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J86:M86"/>
    <mergeCell ref="N86:O86"/>
    <mergeCell ref="P86:Q86"/>
    <mergeCell ref="S86:Y86"/>
    <mergeCell ref="Z86:AA86"/>
    <mergeCell ref="AB86:AC86"/>
    <mergeCell ref="B85:D85"/>
    <mergeCell ref="F85:I85"/>
    <mergeCell ref="J85:M85"/>
    <mergeCell ref="N85:O85"/>
    <mergeCell ref="P85:Q85"/>
    <mergeCell ref="S85:Y85"/>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A80:C80"/>
    <mergeCell ref="S80:Y80"/>
    <mergeCell ref="Z80:AA80"/>
    <mergeCell ref="A81:Q81"/>
    <mergeCell ref="S81:Y81"/>
    <mergeCell ref="Z81:AA81"/>
    <mergeCell ref="A78:C78"/>
    <mergeCell ref="S78:Y78"/>
    <mergeCell ref="Z78:AA78"/>
    <mergeCell ref="A79:C79"/>
    <mergeCell ref="S79:Y79"/>
    <mergeCell ref="Z79:AA79"/>
    <mergeCell ref="A76:C76"/>
    <mergeCell ref="S76:Y76"/>
    <mergeCell ref="Z76:AA76"/>
    <mergeCell ref="A77:C77"/>
    <mergeCell ref="S77:Y77"/>
    <mergeCell ref="Z77:AA77"/>
    <mergeCell ref="A74:Q74"/>
    <mergeCell ref="S74:Y74"/>
    <mergeCell ref="Z74:AA74"/>
    <mergeCell ref="A75:C75"/>
    <mergeCell ref="S75:Y75"/>
    <mergeCell ref="Z75:AA75"/>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0:B70"/>
    <mergeCell ref="C70:G70"/>
    <mergeCell ref="H70:I70"/>
    <mergeCell ref="J70:M70"/>
    <mergeCell ref="N70:O70"/>
    <mergeCell ref="P70:Q70"/>
    <mergeCell ref="A69:B69"/>
    <mergeCell ref="C69:G69"/>
    <mergeCell ref="H69:I69"/>
    <mergeCell ref="J69:M69"/>
    <mergeCell ref="N69:O69"/>
    <mergeCell ref="P69:Q69"/>
    <mergeCell ref="S67:Y67"/>
    <mergeCell ref="Z67:AA67"/>
    <mergeCell ref="AB67:AC80"/>
    <mergeCell ref="AD67:AE80"/>
    <mergeCell ref="S68:Y68"/>
    <mergeCell ref="Z68:AA68"/>
    <mergeCell ref="S69:Y69"/>
    <mergeCell ref="Z69:AA69"/>
    <mergeCell ref="S70:Y70"/>
    <mergeCell ref="Z70:AA70"/>
    <mergeCell ref="A66:Q66"/>
    <mergeCell ref="A67:B68"/>
    <mergeCell ref="C67:G68"/>
    <mergeCell ref="H67:I68"/>
    <mergeCell ref="J67:M68"/>
    <mergeCell ref="N67:O68"/>
    <mergeCell ref="P67:Q68"/>
    <mergeCell ref="A65:I65"/>
    <mergeCell ref="J65:M65"/>
    <mergeCell ref="N65:Q65"/>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J60:Q60"/>
    <mergeCell ref="S60:AA60"/>
    <mergeCell ref="AB60:AC60"/>
    <mergeCell ref="A61:C61"/>
    <mergeCell ref="D61:I61"/>
    <mergeCell ref="J61:N61"/>
    <mergeCell ref="O61:Q61"/>
    <mergeCell ref="S61:AA61"/>
    <mergeCell ref="V58:X58"/>
    <mergeCell ref="Y58:AA58"/>
    <mergeCell ref="AB58:AC58"/>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O54:P54"/>
    <mergeCell ref="AB54:AE54"/>
    <mergeCell ref="A55:G55"/>
    <mergeCell ref="I55:J55"/>
    <mergeCell ref="L55:N55"/>
    <mergeCell ref="O55:P55"/>
    <mergeCell ref="S55:V55"/>
    <mergeCell ref="I53:J53"/>
    <mergeCell ref="L53:N53"/>
    <mergeCell ref="O53:P53"/>
    <mergeCell ref="S53:V53"/>
    <mergeCell ref="W53:AA55"/>
    <mergeCell ref="AB49:AE49"/>
    <mergeCell ref="A50:B50"/>
    <mergeCell ref="C50:D50"/>
    <mergeCell ref="I50:J50"/>
    <mergeCell ref="L50:N50"/>
    <mergeCell ref="S51:AC51"/>
    <mergeCell ref="AD51:AF51"/>
    <mergeCell ref="A52:B52"/>
    <mergeCell ref="C52:D52"/>
    <mergeCell ref="L52:N52"/>
    <mergeCell ref="O52:P52"/>
    <mergeCell ref="S52:AC52"/>
    <mergeCell ref="AD52:AF52"/>
    <mergeCell ref="O50:P50"/>
    <mergeCell ref="Q50:Q55"/>
    <mergeCell ref="S50:AC50"/>
    <mergeCell ref="AD50:AF50"/>
    <mergeCell ref="A51:B51"/>
    <mergeCell ref="C51:D51"/>
    <mergeCell ref="I51:J51"/>
    <mergeCell ref="L51:N51"/>
    <mergeCell ref="O51:P51"/>
    <mergeCell ref="AB53:AE53"/>
    <mergeCell ref="I54:J54"/>
    <mergeCell ref="A49:B49"/>
    <mergeCell ref="C49:D49"/>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46:D46"/>
    <mergeCell ref="F46:I46"/>
    <mergeCell ref="J46:O46"/>
    <mergeCell ref="P46:Q46"/>
    <mergeCell ref="S46:AC46"/>
    <mergeCell ref="AD46:AF46"/>
    <mergeCell ref="A45:D45"/>
    <mergeCell ref="F45:I45"/>
    <mergeCell ref="J45:O45"/>
    <mergeCell ref="P45:Q45"/>
    <mergeCell ref="S45:AC45"/>
    <mergeCell ref="AD45:AF45"/>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A37:B37"/>
    <mergeCell ref="S37:AA37"/>
    <mergeCell ref="AB37:AC37"/>
    <mergeCell ref="AD37:AF37"/>
    <mergeCell ref="A38:B38"/>
    <mergeCell ref="C38:D38"/>
    <mergeCell ref="G38:I38"/>
    <mergeCell ref="J38:L38"/>
    <mergeCell ref="N38:O38"/>
    <mergeCell ref="P38:Q38"/>
    <mergeCell ref="S38:AC38"/>
    <mergeCell ref="AD38:AF38"/>
    <mergeCell ref="S35:AA35"/>
    <mergeCell ref="AB35:AC35"/>
    <mergeCell ref="AD35:AF35"/>
    <mergeCell ref="S36:AA36"/>
    <mergeCell ref="AB36:AC36"/>
    <mergeCell ref="AD36:AF36"/>
    <mergeCell ref="S33:AA33"/>
    <mergeCell ref="AB33:AC33"/>
    <mergeCell ref="AD33:AF33"/>
    <mergeCell ref="S34:AA34"/>
    <mergeCell ref="AB34:AC34"/>
    <mergeCell ref="AD34:AF34"/>
    <mergeCell ref="S31:AA31"/>
    <mergeCell ref="AB31:AC31"/>
    <mergeCell ref="AD31:AF31"/>
    <mergeCell ref="S32:AA32"/>
    <mergeCell ref="AB32:AC32"/>
    <mergeCell ref="AD32:AF32"/>
    <mergeCell ref="S29:AA29"/>
    <mergeCell ref="AB29:AC29"/>
    <mergeCell ref="AD29:AF29"/>
    <mergeCell ref="S30:AA30"/>
    <mergeCell ref="AB30:AC30"/>
    <mergeCell ref="AD30:AF30"/>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S19:U19"/>
    <mergeCell ref="V19:W19"/>
    <mergeCell ref="X19:AC19"/>
    <mergeCell ref="AD19:AF19"/>
    <mergeCell ref="S20:U20"/>
    <mergeCell ref="V20:W20"/>
    <mergeCell ref="X20:AC20"/>
    <mergeCell ref="AD20:AF20"/>
    <mergeCell ref="A21:B21"/>
    <mergeCell ref="S21:U21"/>
    <mergeCell ref="V21:W21"/>
    <mergeCell ref="X21:AC21"/>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9:Y9"/>
    <mergeCell ref="Z9:AA9"/>
    <mergeCell ref="AB9:AC9"/>
    <mergeCell ref="AD9:AF9"/>
    <mergeCell ref="T10:U10"/>
    <mergeCell ref="V10:X10"/>
    <mergeCell ref="Y10:AA10"/>
    <mergeCell ref="AB10:AC10"/>
    <mergeCell ref="AD10:AE10"/>
    <mergeCell ref="O7:O8"/>
    <mergeCell ref="P7:P8"/>
    <mergeCell ref="Q7:Q8"/>
    <mergeCell ref="S7:AA7"/>
    <mergeCell ref="AB7:AC7"/>
    <mergeCell ref="AD7:AF7"/>
    <mergeCell ref="S8:V8"/>
    <mergeCell ref="W8:X8"/>
    <mergeCell ref="Y8:AA8"/>
    <mergeCell ref="AB8:AC8"/>
    <mergeCell ref="AD8:AF8"/>
    <mergeCell ref="H7:H8"/>
    <mergeCell ref="I7:I8"/>
    <mergeCell ref="J7:J8"/>
    <mergeCell ref="L7:L8"/>
    <mergeCell ref="M7:M8"/>
    <mergeCell ref="N7:N8"/>
    <mergeCell ref="A7:A8"/>
    <mergeCell ref="B7:B8"/>
    <mergeCell ref="C7:C8"/>
    <mergeCell ref="D7:D8"/>
    <mergeCell ref="F7:F8"/>
    <mergeCell ref="G7:G8"/>
    <mergeCell ref="AA4:AF4"/>
    <mergeCell ref="A5:C5"/>
    <mergeCell ref="AB5:AC5"/>
    <mergeCell ref="AD5:AF5"/>
    <mergeCell ref="A6:Q6"/>
    <mergeCell ref="S6:AA6"/>
    <mergeCell ref="AB6:AC6"/>
    <mergeCell ref="AD6:AF6"/>
    <mergeCell ref="D5:I5"/>
    <mergeCell ref="M5:O5"/>
    <mergeCell ref="P5:Q5"/>
    <mergeCell ref="S5:V5"/>
    <mergeCell ref="W5:X5"/>
    <mergeCell ref="Y5:AA5"/>
    <mergeCell ref="F50:H50"/>
    <mergeCell ref="F51:H51"/>
    <mergeCell ref="F52:J52"/>
    <mergeCell ref="A53:H53"/>
    <mergeCell ref="A54:H54"/>
    <mergeCell ref="A1:D1"/>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ignoredErrors>
    <ignoredError sqref="C9:J12 C14:J20 D13:J13 C26:P26 C25:M25 P25 C28:P36 C27:N27 P27" unlockedFormula="1"/>
    <ignoredError sqref="C13" formula="1" unlockedFormula="1"/>
    <ignoredError sqref="AD31 AD34" formula="1"/>
  </ignoredErrors>
</worksheet>
</file>

<file path=xl/worksheets/sheet9.xml><?xml version="1.0" encoding="utf-8"?>
<worksheet xmlns="http://schemas.openxmlformats.org/spreadsheetml/2006/main" xmlns:r="http://schemas.openxmlformats.org/officeDocument/2006/relationships">
  <dimension ref="A1:AJ150"/>
  <sheetViews>
    <sheetView view="pageBreakPreview" topLeftCell="A15" zoomScaleSheetLayoutView="100" workbookViewId="0">
      <selection activeCell="D28" sqref="D28"/>
    </sheetView>
  </sheetViews>
  <sheetFormatPr defaultColWidth="0" defaultRowHeight="15" customHeight="1" zeroHeight="1"/>
  <cols>
    <col min="1" max="1" width="4.140625" style="6" customWidth="1"/>
    <col min="2" max="2" width="9.85546875" style="6" customWidth="1"/>
    <col min="3" max="3" width="10" style="6" customWidth="1"/>
    <col min="4" max="4" width="9.140625" style="6" customWidth="1"/>
    <col min="5" max="5" width="10.42578125" style="6" hidden="1" customWidth="1"/>
    <col min="6" max="6" width="8.28515625" style="6" customWidth="1"/>
    <col min="7" max="7" width="8.140625" style="6" customWidth="1"/>
    <col min="8" max="8" width="9" style="6" customWidth="1"/>
    <col min="9" max="9" width="8.5703125" style="6" customWidth="1"/>
    <col min="10" max="10" width="8.28515625" style="6" customWidth="1"/>
    <col min="11" max="11" width="8" style="6" hidden="1" customWidth="1"/>
    <col min="12" max="12" width="8.140625" style="6" customWidth="1"/>
    <col min="13" max="14" width="8.28515625" style="6" customWidth="1"/>
    <col min="15" max="15" width="8.42578125" style="6" customWidth="1"/>
    <col min="16" max="16" width="8.140625" style="6" customWidth="1"/>
    <col min="17" max="17" width="12.5703125" style="6" customWidth="1"/>
    <col min="18" max="18" width="0.85546875" style="6" customWidth="1"/>
    <col min="19" max="21" width="9.140625" style="6" customWidth="1"/>
    <col min="22" max="22" width="11.42578125" style="6" customWidth="1"/>
    <col min="23" max="30" width="9.140625" style="6" customWidth="1"/>
    <col min="31" max="31" width="11.140625" style="6" customWidth="1"/>
    <col min="32" max="32" width="0.140625" style="6" customWidth="1"/>
    <col min="33" max="33" width="0.85546875" style="6" customWidth="1"/>
    <col min="34" max="35" width="9.140625" style="6" hidden="1" customWidth="1"/>
    <col min="36" max="36" width="9.5703125" style="6" hidden="1" customWidth="1"/>
    <col min="37" max="16384" width="9.140625" style="6" hidden="1"/>
  </cols>
  <sheetData>
    <row r="1" spans="1:33" s="50" customFormat="1" ht="20.100000000000001" customHeight="1" thickBot="1">
      <c r="A1" s="1232" t="s">
        <v>403</v>
      </c>
      <c r="B1" s="1232"/>
      <c r="C1" s="1232"/>
      <c r="D1" s="1232"/>
      <c r="E1" s="318"/>
      <c r="F1" s="318"/>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G1" s="151"/>
    </row>
    <row r="2" spans="1:33" ht="19.5" customHeight="1" thickBot="1">
      <c r="A2" s="1178" t="str">
        <f>'DDO '!A2</f>
        <v xml:space="preserve">Office Name:- </v>
      </c>
      <c r="B2" s="1179"/>
      <c r="C2" s="1179"/>
      <c r="D2" s="1179"/>
      <c r="E2" s="319"/>
      <c r="F2" s="1179" t="str">
        <f>'DDO '!B2</f>
        <v>GOVT.SEC.SCHOOL DEWANI</v>
      </c>
      <c r="G2" s="1179"/>
      <c r="H2" s="1179"/>
      <c r="I2" s="1179"/>
      <c r="J2" s="1180"/>
      <c r="K2" s="1180"/>
      <c r="L2" s="1180"/>
      <c r="M2" s="1179"/>
      <c r="N2" s="1179"/>
      <c r="O2" s="1179"/>
      <c r="P2" s="1179"/>
      <c r="Q2" s="1181"/>
      <c r="R2" s="50"/>
      <c r="S2" s="1144" t="str">
        <f>'DDO '!G5</f>
        <v>vk;dj x.kuk i= ys[kk o"kZ 2016&amp;2017 dj fu/kkZj.k o"kZ 2017&amp;2018</v>
      </c>
      <c r="T2" s="1145"/>
      <c r="U2" s="1145"/>
      <c r="V2" s="1145"/>
      <c r="W2" s="1145"/>
      <c r="X2" s="1145"/>
      <c r="Y2" s="1145"/>
      <c r="Z2" s="1145"/>
      <c r="AA2" s="1145"/>
      <c r="AB2" s="1145"/>
      <c r="AC2" s="1145"/>
      <c r="AD2" s="1145"/>
      <c r="AE2" s="1145"/>
      <c r="AF2" s="320"/>
      <c r="AG2" s="17"/>
    </row>
    <row r="3" spans="1:33" ht="19.5" customHeight="1">
      <c r="A3" s="954" t="s">
        <v>6</v>
      </c>
      <c r="B3" s="833"/>
      <c r="C3" s="833"/>
      <c r="D3" s="949" t="str">
        <f>'DDO '!B3</f>
        <v>2016-17</v>
      </c>
      <c r="E3" s="949"/>
      <c r="F3" s="949"/>
      <c r="G3" s="949"/>
      <c r="H3" s="949"/>
      <c r="I3" s="854"/>
      <c r="J3" s="1182" t="s">
        <v>341</v>
      </c>
      <c r="K3" s="1183"/>
      <c r="L3" s="1184"/>
      <c r="M3" s="982" t="s">
        <v>7</v>
      </c>
      <c r="N3" s="833"/>
      <c r="O3" s="833"/>
      <c r="P3" s="949" t="str">
        <f>'DDO '!G3</f>
        <v>2017-18</v>
      </c>
      <c r="Q3" s="950"/>
      <c r="R3" s="50"/>
      <c r="S3" s="1250" t="str">
        <f>D4</f>
        <v xml:space="preserve">DEVKRAN SINGH </v>
      </c>
      <c r="T3" s="538"/>
      <c r="U3" s="538"/>
      <c r="V3" s="538"/>
      <c r="W3" s="949" t="str">
        <f>P4</f>
        <v>Lecturer</v>
      </c>
      <c r="X3" s="949"/>
      <c r="Y3" s="949"/>
      <c r="Z3" s="949"/>
      <c r="AA3" s="949" t="str">
        <f>'Emp.-Detail'!J2</f>
        <v>Govt. PCB Sr. Sec. Sujangarh(Churu)</v>
      </c>
      <c r="AB3" s="949"/>
      <c r="AC3" s="949"/>
      <c r="AD3" s="949"/>
      <c r="AE3" s="949"/>
      <c r="AF3" s="950"/>
      <c r="AG3" s="17"/>
    </row>
    <row r="4" spans="1:33" ht="19.5" customHeight="1">
      <c r="A4" s="954" t="s">
        <v>9</v>
      </c>
      <c r="B4" s="833"/>
      <c r="C4" s="833"/>
      <c r="D4" s="949" t="str">
        <f>'Emp.-Detail'!B13</f>
        <v xml:space="preserve">DEVKRAN SINGH </v>
      </c>
      <c r="E4" s="949"/>
      <c r="F4" s="949"/>
      <c r="G4" s="949"/>
      <c r="H4" s="949"/>
      <c r="I4" s="854"/>
      <c r="J4" s="1185">
        <f>'Emp.-Detail'!A13</f>
        <v>5</v>
      </c>
      <c r="K4" s="1186"/>
      <c r="L4" s="1187"/>
      <c r="M4" s="982" t="s">
        <v>8</v>
      </c>
      <c r="N4" s="833"/>
      <c r="O4" s="833"/>
      <c r="P4" s="949" t="str">
        <f>'Emp.-Detail'!C13</f>
        <v>Lecturer</v>
      </c>
      <c r="Q4" s="950"/>
      <c r="R4" s="50"/>
      <c r="S4" s="1250" t="str">
        <f>D5</f>
        <v>AMCPS4395J</v>
      </c>
      <c r="T4" s="538"/>
      <c r="U4" s="538"/>
      <c r="V4" s="538"/>
      <c r="W4" s="959">
        <f>'Emp.-Detail'!H13</f>
        <v>61081236062</v>
      </c>
      <c r="X4" s="949"/>
      <c r="Y4" s="949"/>
      <c r="Z4" s="949"/>
      <c r="AA4" s="949" t="str">
        <f>'Emp.-Detail'!I13</f>
        <v>SBBJ,Churu</v>
      </c>
      <c r="AB4" s="949"/>
      <c r="AC4" s="949"/>
      <c r="AD4" s="949"/>
      <c r="AE4" s="949"/>
      <c r="AF4" s="950"/>
      <c r="AG4" s="17"/>
    </row>
    <row r="5" spans="1:33" ht="19.5" customHeight="1" thickBot="1">
      <c r="A5" s="954" t="s">
        <v>135</v>
      </c>
      <c r="B5" s="833"/>
      <c r="C5" s="833"/>
      <c r="D5" s="949" t="str">
        <f>'Emp.-Detail'!D13</f>
        <v>AMCPS4395J</v>
      </c>
      <c r="E5" s="949"/>
      <c r="F5" s="949"/>
      <c r="G5" s="949"/>
      <c r="H5" s="949"/>
      <c r="I5" s="854"/>
      <c r="J5" s="1188"/>
      <c r="K5" s="1189"/>
      <c r="L5" s="1190"/>
      <c r="M5" s="982" t="s">
        <v>137</v>
      </c>
      <c r="N5" s="833"/>
      <c r="O5" s="833"/>
      <c r="P5" s="959">
        <f>'Emp.-Detail'!G13</f>
        <v>9460228621</v>
      </c>
      <c r="Q5" s="950"/>
      <c r="R5" s="50"/>
      <c r="S5" s="974" t="s">
        <v>203</v>
      </c>
      <c r="T5" s="975"/>
      <c r="U5" s="975"/>
      <c r="V5" s="975"/>
      <c r="W5" s="951">
        <f>SUM(Q9:Q20)</f>
        <v>724902</v>
      </c>
      <c r="X5" s="951"/>
      <c r="Y5" s="1248" t="s">
        <v>202</v>
      </c>
      <c r="Z5" s="1249"/>
      <c r="AA5" s="1088"/>
      <c r="AB5" s="951">
        <f>P46</f>
        <v>0</v>
      </c>
      <c r="AC5" s="949"/>
      <c r="AD5" s="941">
        <f>W5+AB5</f>
        <v>724902</v>
      </c>
      <c r="AE5" s="942"/>
      <c r="AF5" s="943"/>
      <c r="AG5" s="17"/>
    </row>
    <row r="6" spans="1:33" ht="19.5" customHeight="1">
      <c r="A6" s="1004" t="s">
        <v>0</v>
      </c>
      <c r="B6" s="1005"/>
      <c r="C6" s="1005"/>
      <c r="D6" s="1005"/>
      <c r="E6" s="1005"/>
      <c r="F6" s="1005"/>
      <c r="G6" s="1005"/>
      <c r="H6" s="1005"/>
      <c r="I6" s="1005"/>
      <c r="J6" s="1006"/>
      <c r="K6" s="1006"/>
      <c r="L6" s="1006"/>
      <c r="M6" s="1005"/>
      <c r="N6" s="1005"/>
      <c r="O6" s="1005"/>
      <c r="P6" s="1005"/>
      <c r="Q6" s="1007"/>
      <c r="R6" s="50"/>
      <c r="S6" s="972" t="s">
        <v>149</v>
      </c>
      <c r="T6" s="970"/>
      <c r="U6" s="970"/>
      <c r="V6" s="970"/>
      <c r="W6" s="970"/>
      <c r="X6" s="970"/>
      <c r="Y6" s="970"/>
      <c r="Z6" s="970"/>
      <c r="AA6" s="973"/>
      <c r="AB6" s="951">
        <f>I53</f>
        <v>0</v>
      </c>
      <c r="AC6" s="951"/>
      <c r="AD6" s="941">
        <f>AD5-AB6</f>
        <v>724902</v>
      </c>
      <c r="AE6" s="942"/>
      <c r="AF6" s="943"/>
      <c r="AG6" s="17"/>
    </row>
    <row r="7" spans="1:33" ht="19.5" customHeight="1">
      <c r="A7" s="1146" t="s">
        <v>219</v>
      </c>
      <c r="B7" s="1148" t="s">
        <v>5</v>
      </c>
      <c r="C7" s="1008" t="s">
        <v>216</v>
      </c>
      <c r="D7" s="1002" t="s">
        <v>217</v>
      </c>
      <c r="E7" s="280"/>
      <c r="F7" s="1002" t="s">
        <v>218</v>
      </c>
      <c r="G7" s="1008" t="s">
        <v>284</v>
      </c>
      <c r="H7" s="1008" t="s">
        <v>297</v>
      </c>
      <c r="I7" s="1154" t="s">
        <v>220</v>
      </c>
      <c r="J7" s="1154" t="s">
        <v>221</v>
      </c>
      <c r="K7" s="281"/>
      <c r="L7" s="1158" t="s">
        <v>294</v>
      </c>
      <c r="M7" s="1008" t="s">
        <v>4</v>
      </c>
      <c r="N7" s="1002" t="s">
        <v>222</v>
      </c>
      <c r="O7" s="1154" t="s">
        <v>223</v>
      </c>
      <c r="P7" s="1196" t="s">
        <v>263</v>
      </c>
      <c r="Q7" s="1160" t="s">
        <v>224</v>
      </c>
      <c r="R7" s="282"/>
      <c r="S7" s="972" t="s">
        <v>155</v>
      </c>
      <c r="T7" s="970"/>
      <c r="U7" s="970"/>
      <c r="V7" s="970"/>
      <c r="W7" s="970"/>
      <c r="X7" s="970"/>
      <c r="Y7" s="970"/>
      <c r="Z7" s="970"/>
      <c r="AA7" s="973"/>
      <c r="AB7" s="951">
        <f>I54</f>
        <v>0</v>
      </c>
      <c r="AC7" s="951"/>
      <c r="AD7" s="941">
        <f>AD6-AB7</f>
        <v>724902</v>
      </c>
      <c r="AE7" s="942"/>
      <c r="AF7" s="943"/>
      <c r="AG7" s="17"/>
    </row>
    <row r="8" spans="1:33" ht="19.5" customHeight="1">
      <c r="A8" s="1147"/>
      <c r="B8" s="1149"/>
      <c r="C8" s="1009"/>
      <c r="D8" s="1003"/>
      <c r="E8" s="283"/>
      <c r="F8" s="1003"/>
      <c r="G8" s="1009"/>
      <c r="H8" s="1009"/>
      <c r="I8" s="1155"/>
      <c r="J8" s="1155"/>
      <c r="K8" s="284"/>
      <c r="L8" s="1159"/>
      <c r="M8" s="1009"/>
      <c r="N8" s="1003"/>
      <c r="O8" s="1155"/>
      <c r="P8" s="1197"/>
      <c r="Q8" s="1161"/>
      <c r="R8" s="282"/>
      <c r="S8" s="954" t="s">
        <v>147</v>
      </c>
      <c r="T8" s="833"/>
      <c r="U8" s="833"/>
      <c r="V8" s="833"/>
      <c r="W8" s="951">
        <f>O47</f>
        <v>0</v>
      </c>
      <c r="X8" s="951"/>
      <c r="Y8" s="833" t="s">
        <v>148</v>
      </c>
      <c r="Z8" s="833"/>
      <c r="AA8" s="833"/>
      <c r="AB8" s="951">
        <f>O48</f>
        <v>0</v>
      </c>
      <c r="AC8" s="951"/>
      <c r="AD8" s="941">
        <f>AD7-(W8+AB8)</f>
        <v>724902</v>
      </c>
      <c r="AE8" s="942"/>
      <c r="AF8" s="943"/>
      <c r="AG8" s="17"/>
    </row>
    <row r="9" spans="1:33" ht="19.5" customHeight="1">
      <c r="A9" s="285">
        <v>1</v>
      </c>
      <c r="B9" s="286">
        <v>42430</v>
      </c>
      <c r="C9" s="190">
        <f>'Emp.-Detail'!E13</f>
        <v>23760</v>
      </c>
      <c r="D9" s="190">
        <f>ROUND(C9*119%,0)</f>
        <v>28274</v>
      </c>
      <c r="E9" s="191">
        <f>ROUND((C9+D9)*10%,0)</f>
        <v>5203</v>
      </c>
      <c r="F9" s="190">
        <f>ROUND(C9*10%,0)</f>
        <v>2376</v>
      </c>
      <c r="G9" s="190">
        <v>0</v>
      </c>
      <c r="H9" s="190">
        <v>0</v>
      </c>
      <c r="I9" s="192">
        <f>ROUND(C9*6%,0)*3</f>
        <v>4278</v>
      </c>
      <c r="J9" s="190">
        <v>0</v>
      </c>
      <c r="K9" s="190">
        <f>ROUND((I9+J9)*10%,0)</f>
        <v>428</v>
      </c>
      <c r="L9" s="190">
        <v>26730</v>
      </c>
      <c r="M9" s="190">
        <v>0</v>
      </c>
      <c r="N9" s="190">
        <v>0</v>
      </c>
      <c r="O9" s="190">
        <v>0</v>
      </c>
      <c r="P9" s="193">
        <v>0</v>
      </c>
      <c r="Q9" s="290">
        <f>C9+D9+F9+G9+H9+I9+J9+L9+M9+N9+O9</f>
        <v>85418</v>
      </c>
      <c r="R9" s="282"/>
      <c r="S9" s="984" t="s">
        <v>144</v>
      </c>
      <c r="T9" s="985"/>
      <c r="U9" s="985"/>
      <c r="V9" s="985"/>
      <c r="W9" s="985"/>
      <c r="X9" s="985"/>
      <c r="Y9" s="985"/>
      <c r="Z9" s="971" t="s">
        <v>18</v>
      </c>
      <c r="AA9" s="971"/>
      <c r="AB9" s="967">
        <f>O49</f>
        <v>0</v>
      </c>
      <c r="AC9" s="968"/>
      <c r="AD9" s="977">
        <f>AD8+AB9</f>
        <v>724902</v>
      </c>
      <c r="AE9" s="978"/>
      <c r="AF9" s="979"/>
      <c r="AG9" s="17"/>
    </row>
    <row r="10" spans="1:33" ht="19.5" customHeight="1">
      <c r="A10" s="187">
        <v>2</v>
      </c>
      <c r="B10" s="286">
        <v>42461</v>
      </c>
      <c r="C10" s="192">
        <f>C9</f>
        <v>23760</v>
      </c>
      <c r="D10" s="190">
        <f>ROUND(C10*125%,0)</f>
        <v>29700</v>
      </c>
      <c r="E10" s="191">
        <f t="shared" ref="E10:E20" si="0">ROUND((C10+D10)*10%,0)</f>
        <v>5346</v>
      </c>
      <c r="F10" s="190">
        <f t="shared" ref="F10:F20" si="1">ROUND(C10*10%,0)</f>
        <v>2376</v>
      </c>
      <c r="G10" s="192">
        <f>G9</f>
        <v>0</v>
      </c>
      <c r="H10" s="192">
        <f>H9</f>
        <v>0</v>
      </c>
      <c r="I10" s="192">
        <v>0</v>
      </c>
      <c r="J10" s="190">
        <v>0</v>
      </c>
      <c r="K10" s="190">
        <f t="shared" ref="K10:K20" si="2">ROUND((I10+J10)*10%,0)</f>
        <v>0</v>
      </c>
      <c r="L10" s="190">
        <v>0</v>
      </c>
      <c r="M10" s="190">
        <v>0</v>
      </c>
      <c r="N10" s="190">
        <v>0</v>
      </c>
      <c r="O10" s="190">
        <v>0</v>
      </c>
      <c r="P10" s="193">
        <v>0</v>
      </c>
      <c r="Q10" s="290">
        <f t="shared" ref="Q10:Q20" si="3">C10+D10+F10+G10+H10+I10+J10+L10+M10+N10+O10</f>
        <v>55836</v>
      </c>
      <c r="R10" s="50"/>
      <c r="S10" s="311" t="s">
        <v>145</v>
      </c>
      <c r="T10" s="981" t="s">
        <v>21</v>
      </c>
      <c r="U10" s="982"/>
      <c r="V10" s="986" t="s">
        <v>22</v>
      </c>
      <c r="W10" s="981"/>
      <c r="X10" s="982"/>
      <c r="Y10" s="986" t="s">
        <v>23</v>
      </c>
      <c r="Z10" s="981"/>
      <c r="AA10" s="982"/>
      <c r="AB10" s="986" t="s">
        <v>24</v>
      </c>
      <c r="AC10" s="982"/>
      <c r="AD10" s="983"/>
      <c r="AE10" s="965"/>
      <c r="AF10" s="291"/>
      <c r="AG10" s="17"/>
    </row>
    <row r="11" spans="1:33" ht="19.5" customHeight="1">
      <c r="A11" s="187">
        <v>3</v>
      </c>
      <c r="B11" s="286">
        <v>42491</v>
      </c>
      <c r="C11" s="192">
        <f>C10</f>
        <v>23760</v>
      </c>
      <c r="D11" s="190">
        <f t="shared" ref="D11:D15" si="4">ROUND(C11*125%,0)</f>
        <v>29700</v>
      </c>
      <c r="E11" s="191">
        <f t="shared" si="0"/>
        <v>5346</v>
      </c>
      <c r="F11" s="190">
        <f t="shared" si="1"/>
        <v>2376</v>
      </c>
      <c r="G11" s="192">
        <f t="shared" ref="G11:H20" si="5">G10</f>
        <v>0</v>
      </c>
      <c r="H11" s="192">
        <f t="shared" si="5"/>
        <v>0</v>
      </c>
      <c r="I11" s="192">
        <v>0</v>
      </c>
      <c r="J11" s="190">
        <v>0</v>
      </c>
      <c r="K11" s="190">
        <f t="shared" si="2"/>
        <v>0</v>
      </c>
      <c r="L11" s="190">
        <v>0</v>
      </c>
      <c r="M11" s="190">
        <v>0</v>
      </c>
      <c r="N11" s="190">
        <v>0</v>
      </c>
      <c r="O11" s="190">
        <v>0</v>
      </c>
      <c r="P11" s="193">
        <v>0</v>
      </c>
      <c r="Q11" s="290">
        <f t="shared" si="3"/>
        <v>55836</v>
      </c>
      <c r="R11" s="50"/>
      <c r="S11" s="292" t="s">
        <v>146</v>
      </c>
      <c r="T11" s="958">
        <f>O50</f>
        <v>0</v>
      </c>
      <c r="U11" s="948"/>
      <c r="V11" s="980">
        <f>O51</f>
        <v>0</v>
      </c>
      <c r="W11" s="958"/>
      <c r="X11" s="948"/>
      <c r="Y11" s="980">
        <f>Q49</f>
        <v>0</v>
      </c>
      <c r="Z11" s="958"/>
      <c r="AA11" s="948"/>
      <c r="AB11" s="980">
        <f>T11+V11+Y11</f>
        <v>0</v>
      </c>
      <c r="AC11" s="948"/>
      <c r="AD11" s="941">
        <f>AD9-AB11</f>
        <v>724902</v>
      </c>
      <c r="AE11" s="942"/>
      <c r="AF11" s="943"/>
      <c r="AG11" s="17"/>
    </row>
    <row r="12" spans="1:33" ht="19.5" customHeight="1">
      <c r="A12" s="187">
        <v>4</v>
      </c>
      <c r="B12" s="286">
        <v>42522</v>
      </c>
      <c r="C12" s="192">
        <f>C11</f>
        <v>23760</v>
      </c>
      <c r="D12" s="190">
        <f t="shared" si="4"/>
        <v>29700</v>
      </c>
      <c r="E12" s="191">
        <f t="shared" si="0"/>
        <v>5346</v>
      </c>
      <c r="F12" s="190">
        <f t="shared" si="1"/>
        <v>2376</v>
      </c>
      <c r="G12" s="192">
        <f t="shared" si="5"/>
        <v>0</v>
      </c>
      <c r="H12" s="192">
        <f t="shared" si="5"/>
        <v>0</v>
      </c>
      <c r="I12" s="192">
        <v>0</v>
      </c>
      <c r="J12" s="190">
        <v>0</v>
      </c>
      <c r="K12" s="190">
        <f t="shared" si="2"/>
        <v>0</v>
      </c>
      <c r="L12" s="190">
        <v>0</v>
      </c>
      <c r="M12" s="190">
        <v>0</v>
      </c>
      <c r="N12" s="190">
        <v>0</v>
      </c>
      <c r="O12" s="190">
        <v>0</v>
      </c>
      <c r="P12" s="193">
        <v>0</v>
      </c>
      <c r="Q12" s="290">
        <f t="shared" si="3"/>
        <v>55836</v>
      </c>
      <c r="R12" s="50"/>
      <c r="S12" s="823" t="s">
        <v>150</v>
      </c>
      <c r="T12" s="824"/>
      <c r="U12" s="828" t="s">
        <v>151</v>
      </c>
      <c r="V12" s="824"/>
      <c r="W12" s="828" t="s">
        <v>152</v>
      </c>
      <c r="X12" s="824"/>
      <c r="Y12" s="969" t="s">
        <v>154</v>
      </c>
      <c r="Z12" s="970"/>
      <c r="AA12" s="970"/>
      <c r="AB12" s="949" t="s">
        <v>153</v>
      </c>
      <c r="AC12" s="949"/>
      <c r="AD12" s="983"/>
      <c r="AE12" s="965"/>
      <c r="AF12" s="293"/>
      <c r="AG12" s="17"/>
    </row>
    <row r="13" spans="1:33" ht="19.5" customHeight="1">
      <c r="A13" s="187">
        <v>5</v>
      </c>
      <c r="B13" s="286">
        <v>42552</v>
      </c>
      <c r="C13" s="192">
        <f>ROUNDUP(ROUND(C12*3%,0),-1)+C12</f>
        <v>24480</v>
      </c>
      <c r="D13" s="190">
        <f t="shared" si="4"/>
        <v>30600</v>
      </c>
      <c r="E13" s="191">
        <f t="shared" si="0"/>
        <v>5508</v>
      </c>
      <c r="F13" s="190">
        <f t="shared" si="1"/>
        <v>2448</v>
      </c>
      <c r="G13" s="192">
        <f t="shared" si="5"/>
        <v>0</v>
      </c>
      <c r="H13" s="192">
        <f t="shared" si="5"/>
        <v>0</v>
      </c>
      <c r="I13" s="192">
        <v>0</v>
      </c>
      <c r="J13" s="190">
        <v>0</v>
      </c>
      <c r="K13" s="190">
        <f t="shared" si="2"/>
        <v>0</v>
      </c>
      <c r="L13" s="190">
        <v>0</v>
      </c>
      <c r="M13" s="190">
        <v>0</v>
      </c>
      <c r="N13" s="190">
        <v>0</v>
      </c>
      <c r="O13" s="190">
        <v>0</v>
      </c>
      <c r="P13" s="193">
        <v>0</v>
      </c>
      <c r="Q13" s="290">
        <f t="shared" si="3"/>
        <v>57528</v>
      </c>
      <c r="R13" s="70"/>
      <c r="S13" s="991">
        <f>O52</f>
        <v>0</v>
      </c>
      <c r="T13" s="948"/>
      <c r="U13" s="980">
        <f>O53</f>
        <v>0</v>
      </c>
      <c r="V13" s="948"/>
      <c r="W13" s="980">
        <f>O54</f>
        <v>0</v>
      </c>
      <c r="X13" s="948"/>
      <c r="Y13" s="980">
        <f>O55</f>
        <v>0</v>
      </c>
      <c r="Z13" s="958"/>
      <c r="AA13" s="958"/>
      <c r="AB13" s="951">
        <f>SUM(S13:AA13)</f>
        <v>0</v>
      </c>
      <c r="AC13" s="951"/>
      <c r="AD13" s="941">
        <f>AD11+AB13</f>
        <v>724902</v>
      </c>
      <c r="AE13" s="965"/>
      <c r="AF13" s="966"/>
      <c r="AG13" s="17"/>
    </row>
    <row r="14" spans="1:33" ht="19.5" customHeight="1">
      <c r="A14" s="187">
        <v>6</v>
      </c>
      <c r="B14" s="286">
        <v>42583</v>
      </c>
      <c r="C14" s="192">
        <f t="shared" ref="C14:C20" si="6">C13</f>
        <v>24480</v>
      </c>
      <c r="D14" s="190">
        <f>ROUND(C14*125%,0)</f>
        <v>30600</v>
      </c>
      <c r="E14" s="191">
        <f t="shared" si="0"/>
        <v>5508</v>
      </c>
      <c r="F14" s="190">
        <f t="shared" si="1"/>
        <v>2448</v>
      </c>
      <c r="G14" s="192">
        <f t="shared" si="5"/>
        <v>0</v>
      </c>
      <c r="H14" s="192">
        <f t="shared" si="5"/>
        <v>0</v>
      </c>
      <c r="I14" s="192">
        <v>0</v>
      </c>
      <c r="J14" s="192">
        <f>ROUND(C13*6%,0)*3</f>
        <v>4407</v>
      </c>
      <c r="K14" s="190">
        <f t="shared" si="2"/>
        <v>441</v>
      </c>
      <c r="L14" s="190">
        <v>0</v>
      </c>
      <c r="M14" s="190">
        <v>0</v>
      </c>
      <c r="N14" s="190">
        <v>0</v>
      </c>
      <c r="O14" s="190">
        <v>0</v>
      </c>
      <c r="P14" s="193">
        <v>0</v>
      </c>
      <c r="Q14" s="290">
        <f t="shared" si="3"/>
        <v>61935</v>
      </c>
      <c r="R14" s="50"/>
      <c r="S14" s="954" t="s">
        <v>19</v>
      </c>
      <c r="T14" s="833"/>
      <c r="U14" s="833"/>
      <c r="V14" s="833"/>
      <c r="W14" s="833"/>
      <c r="X14" s="833"/>
      <c r="Y14" s="833"/>
      <c r="Z14" s="833"/>
      <c r="AA14" s="951">
        <f>I55</f>
        <v>0</v>
      </c>
      <c r="AB14" s="951"/>
      <c r="AC14" s="951"/>
      <c r="AD14" s="941">
        <f>AD13+AA14</f>
        <v>724902</v>
      </c>
      <c r="AE14" s="942"/>
      <c r="AF14" s="943"/>
      <c r="AG14" s="17"/>
    </row>
    <row r="15" spans="1:33" ht="19.5" customHeight="1">
      <c r="A15" s="187">
        <v>7</v>
      </c>
      <c r="B15" s="286">
        <v>42614</v>
      </c>
      <c r="C15" s="192">
        <f t="shared" si="6"/>
        <v>24480</v>
      </c>
      <c r="D15" s="190">
        <f t="shared" si="4"/>
        <v>30600</v>
      </c>
      <c r="E15" s="191">
        <f t="shared" si="0"/>
        <v>5508</v>
      </c>
      <c r="F15" s="190">
        <f t="shared" si="1"/>
        <v>2448</v>
      </c>
      <c r="G15" s="192">
        <f t="shared" si="5"/>
        <v>0</v>
      </c>
      <c r="H15" s="192">
        <f t="shared" si="5"/>
        <v>0</v>
      </c>
      <c r="I15" s="192">
        <v>0</v>
      </c>
      <c r="J15" s="192">
        <v>0</v>
      </c>
      <c r="K15" s="190">
        <f t="shared" si="2"/>
        <v>0</v>
      </c>
      <c r="L15" s="190">
        <v>0</v>
      </c>
      <c r="M15" s="190">
        <v>0</v>
      </c>
      <c r="N15" s="190">
        <v>0</v>
      </c>
      <c r="O15" s="190">
        <v>0</v>
      </c>
      <c r="P15" s="193">
        <v>0</v>
      </c>
      <c r="Q15" s="290">
        <f t="shared" si="3"/>
        <v>57528</v>
      </c>
      <c r="R15" s="50"/>
      <c r="S15" s="992" t="s">
        <v>20</v>
      </c>
      <c r="T15" s="993"/>
      <c r="U15" s="993"/>
      <c r="V15" s="993"/>
      <c r="W15" s="993"/>
      <c r="X15" s="993"/>
      <c r="Y15" s="993"/>
      <c r="Z15" s="993"/>
      <c r="AA15" s="993"/>
      <c r="AB15" s="993"/>
      <c r="AC15" s="993"/>
      <c r="AD15" s="941">
        <f>AD14</f>
        <v>724902</v>
      </c>
      <c r="AE15" s="942"/>
      <c r="AF15" s="943"/>
      <c r="AG15" s="17"/>
    </row>
    <row r="16" spans="1:33" ht="19.5" customHeight="1">
      <c r="A16" s="187">
        <v>8</v>
      </c>
      <c r="B16" s="286">
        <v>42644</v>
      </c>
      <c r="C16" s="192">
        <f t="shared" si="6"/>
        <v>24480</v>
      </c>
      <c r="D16" s="190">
        <f>ROUND(C16*131%,0)</f>
        <v>32069</v>
      </c>
      <c r="E16" s="191">
        <f t="shared" si="0"/>
        <v>5655</v>
      </c>
      <c r="F16" s="190">
        <f t="shared" si="1"/>
        <v>2448</v>
      </c>
      <c r="G16" s="192">
        <f t="shared" si="5"/>
        <v>0</v>
      </c>
      <c r="H16" s="192">
        <f t="shared" si="5"/>
        <v>0</v>
      </c>
      <c r="I16" s="192">
        <v>0</v>
      </c>
      <c r="J16" s="192">
        <v>0</v>
      </c>
      <c r="K16" s="190">
        <f t="shared" si="2"/>
        <v>0</v>
      </c>
      <c r="L16" s="190">
        <v>0</v>
      </c>
      <c r="M16" s="190">
        <v>0</v>
      </c>
      <c r="N16" s="190">
        <v>0</v>
      </c>
      <c r="O16" s="190">
        <v>0</v>
      </c>
      <c r="P16" s="193">
        <v>0</v>
      </c>
      <c r="Q16" s="290">
        <f t="shared" si="3"/>
        <v>58997</v>
      </c>
      <c r="R16" s="50"/>
      <c r="S16" s="987" t="s">
        <v>156</v>
      </c>
      <c r="T16" s="988"/>
      <c r="U16" s="988"/>
      <c r="V16" s="988"/>
      <c r="W16" s="988"/>
      <c r="X16" s="988"/>
      <c r="Y16" s="988"/>
      <c r="Z16" s="988"/>
      <c r="AA16" s="988"/>
      <c r="AB16" s="988"/>
      <c r="AC16" s="988"/>
      <c r="AD16" s="989"/>
      <c r="AE16" s="989"/>
      <c r="AF16" s="990"/>
      <c r="AG16" s="17"/>
    </row>
    <row r="17" spans="1:34" ht="19.5" customHeight="1">
      <c r="A17" s="187">
        <v>9</v>
      </c>
      <c r="B17" s="286">
        <v>42675</v>
      </c>
      <c r="C17" s="192">
        <f t="shared" si="6"/>
        <v>24480</v>
      </c>
      <c r="D17" s="190">
        <f>ROUND(C17*131%,0)</f>
        <v>32069</v>
      </c>
      <c r="E17" s="191">
        <f t="shared" si="0"/>
        <v>5655</v>
      </c>
      <c r="F17" s="190">
        <f t="shared" si="1"/>
        <v>2448</v>
      </c>
      <c r="G17" s="192">
        <f t="shared" si="5"/>
        <v>0</v>
      </c>
      <c r="H17" s="192">
        <f t="shared" si="5"/>
        <v>0</v>
      </c>
      <c r="I17" s="192">
        <v>0</v>
      </c>
      <c r="J17" s="192">
        <v>0</v>
      </c>
      <c r="K17" s="190">
        <f t="shared" si="2"/>
        <v>0</v>
      </c>
      <c r="L17" s="190">
        <v>0</v>
      </c>
      <c r="M17" s="190">
        <v>0</v>
      </c>
      <c r="N17" s="190">
        <v>0</v>
      </c>
      <c r="O17" s="190">
        <v>0</v>
      </c>
      <c r="P17" s="193">
        <v>0</v>
      </c>
      <c r="Q17" s="290">
        <f t="shared" si="3"/>
        <v>58997</v>
      </c>
      <c r="R17" s="50"/>
      <c r="S17" s="954" t="s">
        <v>157</v>
      </c>
      <c r="T17" s="833"/>
      <c r="U17" s="833"/>
      <c r="V17" s="951">
        <f>IF('Emp.-Detail'!F13="NO",F37,0)</f>
        <v>79685</v>
      </c>
      <c r="W17" s="951"/>
      <c r="X17" s="833" t="s">
        <v>167</v>
      </c>
      <c r="Y17" s="833"/>
      <c r="Z17" s="833"/>
      <c r="AA17" s="833"/>
      <c r="AB17" s="833"/>
      <c r="AC17" s="833"/>
      <c r="AD17" s="831">
        <f>F45</f>
        <v>0</v>
      </c>
      <c r="AE17" s="831"/>
      <c r="AF17" s="955"/>
      <c r="AG17" s="17"/>
    </row>
    <row r="18" spans="1:34" ht="19.5" customHeight="1">
      <c r="A18" s="187">
        <v>10</v>
      </c>
      <c r="B18" s="286">
        <v>42705</v>
      </c>
      <c r="C18" s="192">
        <f t="shared" si="6"/>
        <v>24480</v>
      </c>
      <c r="D18" s="190">
        <f>ROUND(C18*131%,0)</f>
        <v>32069</v>
      </c>
      <c r="E18" s="191">
        <f t="shared" si="0"/>
        <v>5655</v>
      </c>
      <c r="F18" s="190">
        <f t="shared" si="1"/>
        <v>2448</v>
      </c>
      <c r="G18" s="192">
        <f t="shared" si="5"/>
        <v>0</v>
      </c>
      <c r="H18" s="192">
        <f t="shared" si="5"/>
        <v>0</v>
      </c>
      <c r="I18" s="192">
        <v>0</v>
      </c>
      <c r="J18" s="192">
        <v>0</v>
      </c>
      <c r="K18" s="190">
        <f t="shared" si="2"/>
        <v>0</v>
      </c>
      <c r="L18" s="190">
        <v>0</v>
      </c>
      <c r="M18" s="190">
        <v>0</v>
      </c>
      <c r="N18" s="190">
        <v>0</v>
      </c>
      <c r="O18" s="190">
        <v>0</v>
      </c>
      <c r="P18" s="193">
        <v>0</v>
      </c>
      <c r="Q18" s="290">
        <f t="shared" si="3"/>
        <v>58997</v>
      </c>
      <c r="R18" s="50"/>
      <c r="S18" s="954" t="s">
        <v>158</v>
      </c>
      <c r="T18" s="833"/>
      <c r="U18" s="833"/>
      <c r="V18" s="951">
        <f>I37</f>
        <v>36000</v>
      </c>
      <c r="W18" s="951"/>
      <c r="X18" s="833" t="s">
        <v>168</v>
      </c>
      <c r="Y18" s="833"/>
      <c r="Z18" s="833"/>
      <c r="AA18" s="833"/>
      <c r="AB18" s="833"/>
      <c r="AC18" s="833"/>
      <c r="AD18" s="831">
        <f>F46+O52</f>
        <v>0</v>
      </c>
      <c r="AE18" s="831"/>
      <c r="AF18" s="955"/>
      <c r="AG18" s="17"/>
    </row>
    <row r="19" spans="1:34" ht="19.5" customHeight="1">
      <c r="A19" s="187">
        <v>11</v>
      </c>
      <c r="B19" s="286">
        <v>42736</v>
      </c>
      <c r="C19" s="192">
        <f t="shared" si="6"/>
        <v>24480</v>
      </c>
      <c r="D19" s="190">
        <f>ROUND(C19*131%,0)</f>
        <v>32069</v>
      </c>
      <c r="E19" s="191">
        <f t="shared" si="0"/>
        <v>5655</v>
      </c>
      <c r="F19" s="190">
        <f t="shared" si="1"/>
        <v>2448</v>
      </c>
      <c r="G19" s="192">
        <f t="shared" si="5"/>
        <v>0</v>
      </c>
      <c r="H19" s="192">
        <f t="shared" si="5"/>
        <v>0</v>
      </c>
      <c r="I19" s="192">
        <v>0</v>
      </c>
      <c r="J19" s="192">
        <v>0</v>
      </c>
      <c r="K19" s="190">
        <f t="shared" si="2"/>
        <v>0</v>
      </c>
      <c r="L19" s="190">
        <v>0</v>
      </c>
      <c r="M19" s="190">
        <v>0</v>
      </c>
      <c r="N19" s="190">
        <v>0</v>
      </c>
      <c r="O19" s="190">
        <v>0</v>
      </c>
      <c r="P19" s="193">
        <v>0</v>
      </c>
      <c r="Q19" s="290">
        <f t="shared" si="3"/>
        <v>58997</v>
      </c>
      <c r="R19" s="50"/>
      <c r="S19" s="954" t="s">
        <v>159</v>
      </c>
      <c r="T19" s="833"/>
      <c r="U19" s="833"/>
      <c r="V19" s="951">
        <f>N37</f>
        <v>22704</v>
      </c>
      <c r="W19" s="951"/>
      <c r="X19" s="833" t="s">
        <v>169</v>
      </c>
      <c r="Y19" s="833"/>
      <c r="Z19" s="833"/>
      <c r="AA19" s="833"/>
      <c r="AB19" s="833"/>
      <c r="AC19" s="833"/>
      <c r="AD19" s="831">
        <f>P40</f>
        <v>0</v>
      </c>
      <c r="AE19" s="831"/>
      <c r="AF19" s="955"/>
      <c r="AG19" s="17"/>
    </row>
    <row r="20" spans="1:34" ht="19.5" customHeight="1">
      <c r="A20" s="187">
        <v>12</v>
      </c>
      <c r="B20" s="286">
        <v>42767</v>
      </c>
      <c r="C20" s="192">
        <f t="shared" si="6"/>
        <v>24480</v>
      </c>
      <c r="D20" s="190">
        <f>ROUND(C20*131%,0)</f>
        <v>32069</v>
      </c>
      <c r="E20" s="191">
        <f t="shared" si="0"/>
        <v>5655</v>
      </c>
      <c r="F20" s="190">
        <f t="shared" si="1"/>
        <v>2448</v>
      </c>
      <c r="G20" s="192">
        <f t="shared" si="5"/>
        <v>0</v>
      </c>
      <c r="H20" s="192">
        <f t="shared" si="5"/>
        <v>0</v>
      </c>
      <c r="I20" s="192">
        <v>0</v>
      </c>
      <c r="J20" s="192">
        <v>0</v>
      </c>
      <c r="K20" s="190">
        <f t="shared" si="2"/>
        <v>0</v>
      </c>
      <c r="L20" s="190">
        <v>0</v>
      </c>
      <c r="M20" s="190">
        <v>0</v>
      </c>
      <c r="N20" s="190">
        <v>0</v>
      </c>
      <c r="O20" s="190">
        <v>0</v>
      </c>
      <c r="P20" s="193">
        <v>0</v>
      </c>
      <c r="Q20" s="290">
        <f t="shared" si="3"/>
        <v>58997</v>
      </c>
      <c r="R20" s="50"/>
      <c r="S20" s="954" t="s">
        <v>160</v>
      </c>
      <c r="T20" s="833"/>
      <c r="U20" s="833"/>
      <c r="V20" s="951">
        <f>'Emp.-Detail'!AB9</f>
        <v>220</v>
      </c>
      <c r="W20" s="951"/>
      <c r="X20" s="833" t="s">
        <v>170</v>
      </c>
      <c r="Y20" s="833"/>
      <c r="Z20" s="833"/>
      <c r="AA20" s="833"/>
      <c r="AB20" s="833"/>
      <c r="AC20" s="833"/>
      <c r="AD20" s="831">
        <f>P41</f>
        <v>0</v>
      </c>
      <c r="AE20" s="831"/>
      <c r="AF20" s="955"/>
      <c r="AG20" s="17"/>
    </row>
    <row r="21" spans="1:34" s="50" customFormat="1" ht="19.5" customHeight="1">
      <c r="A21" s="1004" t="s">
        <v>3</v>
      </c>
      <c r="B21" s="1012"/>
      <c r="C21" s="287">
        <f t="shared" ref="C21:N21" si="7">SUM(C9:C20)</f>
        <v>290880</v>
      </c>
      <c r="D21" s="287">
        <f>SUM(D9:D20)</f>
        <v>369519</v>
      </c>
      <c r="E21" s="288">
        <f>SUM(E9:E20)</f>
        <v>66040</v>
      </c>
      <c r="F21" s="287">
        <f>SUM(F9:F20)</f>
        <v>29088</v>
      </c>
      <c r="G21" s="287">
        <f t="shared" si="7"/>
        <v>0</v>
      </c>
      <c r="H21" s="287">
        <f>SUM(H9:H20)</f>
        <v>0</v>
      </c>
      <c r="I21" s="287">
        <f t="shared" si="7"/>
        <v>4278</v>
      </c>
      <c r="J21" s="287">
        <f t="shared" si="7"/>
        <v>4407</v>
      </c>
      <c r="K21" s="287">
        <f>SUM(K9:K20)</f>
        <v>869</v>
      </c>
      <c r="L21" s="287">
        <f t="shared" si="7"/>
        <v>26730</v>
      </c>
      <c r="M21" s="287">
        <f t="shared" si="7"/>
        <v>0</v>
      </c>
      <c r="N21" s="287">
        <f t="shared" si="7"/>
        <v>0</v>
      </c>
      <c r="O21" s="287">
        <f>SUM(O9:O20)</f>
        <v>0</v>
      </c>
      <c r="P21" s="289">
        <f>SUM(P9:P20)</f>
        <v>0</v>
      </c>
      <c r="Q21" s="84">
        <f>SUM(Q9:Q20)</f>
        <v>724902</v>
      </c>
      <c r="S21" s="954" t="s">
        <v>161</v>
      </c>
      <c r="T21" s="833"/>
      <c r="U21" s="833"/>
      <c r="V21" s="951">
        <f>F40</f>
        <v>0</v>
      </c>
      <c r="W21" s="951"/>
      <c r="X21" s="833" t="s">
        <v>171</v>
      </c>
      <c r="Y21" s="833"/>
      <c r="Z21" s="833"/>
      <c r="AA21" s="833"/>
      <c r="AB21" s="833"/>
      <c r="AC21" s="833"/>
      <c r="AD21" s="831">
        <f>P42</f>
        <v>0</v>
      </c>
      <c r="AE21" s="831"/>
      <c r="AF21" s="955"/>
      <c r="AG21" s="151"/>
    </row>
    <row r="22" spans="1:34" s="50" customFormat="1" ht="19.5" customHeight="1">
      <c r="A22" s="1162" t="s">
        <v>14</v>
      </c>
      <c r="B22" s="1006"/>
      <c r="C22" s="1006"/>
      <c r="D22" s="1006"/>
      <c r="E22" s="1006"/>
      <c r="F22" s="1006"/>
      <c r="G22" s="1006"/>
      <c r="H22" s="1006"/>
      <c r="I22" s="1006"/>
      <c r="J22" s="1006"/>
      <c r="K22" s="1006"/>
      <c r="L22" s="1006"/>
      <c r="M22" s="1006"/>
      <c r="N22" s="1006"/>
      <c r="O22" s="1006"/>
      <c r="P22" s="1006"/>
      <c r="Q22" s="1163"/>
      <c r="S22" s="954" t="s">
        <v>162</v>
      </c>
      <c r="T22" s="833"/>
      <c r="U22" s="833"/>
      <c r="V22" s="951">
        <f>F41</f>
        <v>0</v>
      </c>
      <c r="W22" s="951"/>
      <c r="X22" s="833" t="s">
        <v>172</v>
      </c>
      <c r="Y22" s="833"/>
      <c r="Z22" s="833"/>
      <c r="AA22" s="833"/>
      <c r="AB22" s="833"/>
      <c r="AC22" s="833"/>
      <c r="AD22" s="831">
        <f>P44</f>
        <v>0</v>
      </c>
      <c r="AE22" s="831"/>
      <c r="AF22" s="955"/>
      <c r="AG22" s="151"/>
    </row>
    <row r="23" spans="1:34" s="50" customFormat="1" ht="19.5" customHeight="1">
      <c r="A23" s="1146" t="s">
        <v>219</v>
      </c>
      <c r="B23" s="1148" t="s">
        <v>5</v>
      </c>
      <c r="C23" s="1150" t="s">
        <v>285</v>
      </c>
      <c r="D23" s="1015" t="s">
        <v>295</v>
      </c>
      <c r="E23" s="294"/>
      <c r="F23" s="1152" t="s">
        <v>286</v>
      </c>
      <c r="G23" s="1154" t="s">
        <v>225</v>
      </c>
      <c r="H23" s="1152" t="s">
        <v>296</v>
      </c>
      <c r="I23" s="1154" t="s">
        <v>226</v>
      </c>
      <c r="J23" s="1154" t="s">
        <v>227</v>
      </c>
      <c r="K23" s="281"/>
      <c r="L23" s="1156" t="s">
        <v>228</v>
      </c>
      <c r="M23" s="1015" t="s">
        <v>1</v>
      </c>
      <c r="N23" s="1008" t="s">
        <v>229</v>
      </c>
      <c r="O23" s="1017" t="s">
        <v>230</v>
      </c>
      <c r="P23" s="1002" t="s">
        <v>231</v>
      </c>
      <c r="Q23" s="1010" t="s">
        <v>232</v>
      </c>
      <c r="S23" s="954" t="s">
        <v>163</v>
      </c>
      <c r="T23" s="833"/>
      <c r="U23" s="833"/>
      <c r="V23" s="951">
        <f>F42</f>
        <v>0</v>
      </c>
      <c r="W23" s="951"/>
      <c r="X23" s="833" t="s">
        <v>173</v>
      </c>
      <c r="Y23" s="833"/>
      <c r="Z23" s="833"/>
      <c r="AA23" s="833"/>
      <c r="AB23" s="833"/>
      <c r="AC23" s="833"/>
      <c r="AD23" s="831">
        <f>P43</f>
        <v>0</v>
      </c>
      <c r="AE23" s="831"/>
      <c r="AF23" s="955"/>
      <c r="AG23" s="151"/>
    </row>
    <row r="24" spans="1:34" s="50" customFormat="1" ht="19.5" customHeight="1">
      <c r="A24" s="1147"/>
      <c r="B24" s="1149"/>
      <c r="C24" s="1151"/>
      <c r="D24" s="1016"/>
      <c r="E24" s="295"/>
      <c r="F24" s="1153"/>
      <c r="G24" s="1155"/>
      <c r="H24" s="1153"/>
      <c r="I24" s="1155"/>
      <c r="J24" s="1155"/>
      <c r="K24" s="284"/>
      <c r="L24" s="1157"/>
      <c r="M24" s="1016"/>
      <c r="N24" s="1009"/>
      <c r="O24" s="1018"/>
      <c r="P24" s="1003"/>
      <c r="Q24" s="1011"/>
      <c r="S24" s="954" t="s">
        <v>164</v>
      </c>
      <c r="T24" s="833"/>
      <c r="U24" s="833"/>
      <c r="V24" s="951">
        <f>F43</f>
        <v>0</v>
      </c>
      <c r="W24" s="951"/>
      <c r="X24" s="956" t="s">
        <v>174</v>
      </c>
      <c r="Y24" s="956"/>
      <c r="Z24" s="956"/>
      <c r="AA24" s="956"/>
      <c r="AB24" s="956"/>
      <c r="AC24" s="956"/>
      <c r="AD24" s="831">
        <f>P45</f>
        <v>0</v>
      </c>
      <c r="AE24" s="831"/>
      <c r="AF24" s="955"/>
      <c r="AG24" s="151"/>
      <c r="AH24" s="70"/>
    </row>
    <row r="25" spans="1:34" ht="19.5" customHeight="1">
      <c r="A25" s="187">
        <v>1</v>
      </c>
      <c r="B25" s="296">
        <f>B9</f>
        <v>42430</v>
      </c>
      <c r="C25" s="192">
        <v>5000</v>
      </c>
      <c r="D25" s="192">
        <f>IF('Emp.-Detail'!F13="YES",K9)+IF('Emp.-Detail'!F13="NO",I9,0)</f>
        <v>4278</v>
      </c>
      <c r="E25" s="195"/>
      <c r="F25" s="287">
        <f>SUM(C25:D25)</f>
        <v>9278</v>
      </c>
      <c r="G25" s="192">
        <v>0</v>
      </c>
      <c r="H25" s="194">
        <v>0</v>
      </c>
      <c r="I25" s="192">
        <v>3000</v>
      </c>
      <c r="J25" s="195">
        <v>0</v>
      </c>
      <c r="K25" s="195"/>
      <c r="L25" s="195">
        <v>0</v>
      </c>
      <c r="M25" s="196">
        <v>595</v>
      </c>
      <c r="N25" s="196">
        <v>1892</v>
      </c>
      <c r="O25" s="196">
        <v>2600</v>
      </c>
      <c r="P25" s="192">
        <v>0</v>
      </c>
      <c r="Q25" s="297">
        <f>SUM(F25:P25)</f>
        <v>17365</v>
      </c>
      <c r="R25" s="50"/>
      <c r="S25" s="1084" t="s">
        <v>166</v>
      </c>
      <c r="T25" s="981"/>
      <c r="U25" s="982"/>
      <c r="V25" s="951">
        <f>F44</f>
        <v>0</v>
      </c>
      <c r="W25" s="951"/>
      <c r="X25" s="956" t="s">
        <v>175</v>
      </c>
      <c r="Y25" s="956"/>
      <c r="Z25" s="956"/>
      <c r="AA25" s="956"/>
      <c r="AB25" s="956"/>
      <c r="AC25" s="956"/>
      <c r="AD25" s="831">
        <f>P46</f>
        <v>0</v>
      </c>
      <c r="AE25" s="831"/>
      <c r="AF25" s="955"/>
      <c r="AG25" s="17"/>
      <c r="AH25" s="2"/>
    </row>
    <row r="26" spans="1:34" ht="19.5" customHeight="1">
      <c r="A26" s="187">
        <v>2</v>
      </c>
      <c r="B26" s="296">
        <f t="shared" ref="B26:B36" si="8">B10</f>
        <v>42461</v>
      </c>
      <c r="C26" s="192">
        <v>6000</v>
      </c>
      <c r="D26" s="192">
        <f>IF('Emp.-Detail'!F13="YES",K10)+IF('Emp.-Detail'!F13="NO",I10,0)</f>
        <v>0</v>
      </c>
      <c r="E26" s="195"/>
      <c r="F26" s="287">
        <f t="shared" ref="F26:F37" si="9">SUM(C26:D26)</f>
        <v>6000</v>
      </c>
      <c r="G26" s="192">
        <f t="shared" ref="G26:O36" si="10">G25</f>
        <v>0</v>
      </c>
      <c r="H26" s="194">
        <f>H25</f>
        <v>0</v>
      </c>
      <c r="I26" s="192">
        <f t="shared" si="10"/>
        <v>3000</v>
      </c>
      <c r="J26" s="195">
        <f t="shared" si="10"/>
        <v>0</v>
      </c>
      <c r="K26" s="195"/>
      <c r="L26" s="195">
        <f t="shared" si="10"/>
        <v>0</v>
      </c>
      <c r="M26" s="196">
        <f t="shared" si="10"/>
        <v>595</v>
      </c>
      <c r="N26" s="196">
        <f t="shared" si="10"/>
        <v>1892</v>
      </c>
      <c r="O26" s="196">
        <v>3000</v>
      </c>
      <c r="P26" s="194">
        <f>'Emp.-Detail'!AB9+'Emp.-Detail'!AB9*14.5%</f>
        <v>251.9</v>
      </c>
      <c r="Q26" s="297">
        <f t="shared" ref="Q26:Q36" si="11">SUM(F26:P26)</f>
        <v>14738.9</v>
      </c>
      <c r="R26" s="50"/>
      <c r="S26" s="1089" t="s">
        <v>279</v>
      </c>
      <c r="T26" s="1090"/>
      <c r="U26" s="1090"/>
      <c r="V26" s="1090"/>
      <c r="W26" s="1090"/>
      <c r="X26" s="1090"/>
      <c r="Y26" s="1090"/>
      <c r="Z26" s="1090"/>
      <c r="AA26" s="1091"/>
      <c r="AB26" s="942">
        <f>SUM(V17:V25)+SUM(AD17:AD25)</f>
        <v>138609</v>
      </c>
      <c r="AC26" s="957"/>
      <c r="AD26" s="1135">
        <f>IF(AB26&lt;=150000,AB26,150000)+AD25</f>
        <v>138609</v>
      </c>
      <c r="AE26" s="1136"/>
      <c r="AF26" s="1137"/>
      <c r="AG26" s="17"/>
    </row>
    <row r="27" spans="1:34" ht="19.5" customHeight="1">
      <c r="A27" s="187">
        <v>3</v>
      </c>
      <c r="B27" s="296">
        <f t="shared" si="8"/>
        <v>42491</v>
      </c>
      <c r="C27" s="192">
        <v>6000</v>
      </c>
      <c r="D27" s="192">
        <f>IF('Emp.-Detail'!F13="YES",K11)+IF('Emp.-Detail'!F13="NO",I11,0)</f>
        <v>0</v>
      </c>
      <c r="E27" s="195"/>
      <c r="F27" s="287">
        <f t="shared" si="9"/>
        <v>6000</v>
      </c>
      <c r="G27" s="192">
        <f t="shared" si="10"/>
        <v>0</v>
      </c>
      <c r="H27" s="194">
        <f t="shared" si="10"/>
        <v>0</v>
      </c>
      <c r="I27" s="192">
        <f t="shared" si="10"/>
        <v>3000</v>
      </c>
      <c r="J27" s="195">
        <f t="shared" si="10"/>
        <v>0</v>
      </c>
      <c r="K27" s="195"/>
      <c r="L27" s="195">
        <f t="shared" si="10"/>
        <v>0</v>
      </c>
      <c r="M27" s="196">
        <f t="shared" si="10"/>
        <v>595</v>
      </c>
      <c r="N27" s="196">
        <f t="shared" si="10"/>
        <v>1892</v>
      </c>
      <c r="O27" s="196">
        <f t="shared" si="10"/>
        <v>3000</v>
      </c>
      <c r="P27" s="192">
        <v>0</v>
      </c>
      <c r="Q27" s="297">
        <f t="shared" si="11"/>
        <v>14487</v>
      </c>
      <c r="R27" s="50"/>
      <c r="S27" s="1085" t="s">
        <v>592</v>
      </c>
      <c r="T27" s="1086"/>
      <c r="U27" s="1086"/>
      <c r="V27" s="1086"/>
      <c r="W27" s="1086"/>
      <c r="X27" s="1086"/>
      <c r="Y27" s="1086"/>
      <c r="Z27" s="1086"/>
      <c r="AA27" s="1086"/>
      <c r="AB27" s="1087">
        <f>AB5</f>
        <v>0</v>
      </c>
      <c r="AC27" s="1088"/>
      <c r="AD27" s="831">
        <f>AD15-(AD26+AB5)</f>
        <v>586293</v>
      </c>
      <c r="AE27" s="831"/>
      <c r="AF27" s="955"/>
      <c r="AG27" s="17"/>
    </row>
    <row r="28" spans="1:34" ht="19.5" customHeight="1">
      <c r="A28" s="187">
        <v>4</v>
      </c>
      <c r="B28" s="296">
        <f t="shared" si="8"/>
        <v>42522</v>
      </c>
      <c r="C28" s="192">
        <v>6000</v>
      </c>
      <c r="D28" s="192">
        <f>IF('Emp.-Detail'!F13="YES",K12)+IF('Emp.-Detail'!F13="NO",I12,0)</f>
        <v>0</v>
      </c>
      <c r="E28" s="195"/>
      <c r="F28" s="287">
        <f t="shared" si="9"/>
        <v>6000</v>
      </c>
      <c r="G28" s="192">
        <f t="shared" si="10"/>
        <v>0</v>
      </c>
      <c r="H28" s="194">
        <f t="shared" si="10"/>
        <v>0</v>
      </c>
      <c r="I28" s="192">
        <f t="shared" si="10"/>
        <v>3000</v>
      </c>
      <c r="J28" s="195">
        <f t="shared" si="10"/>
        <v>0</v>
      </c>
      <c r="K28" s="195"/>
      <c r="L28" s="195">
        <f t="shared" si="10"/>
        <v>0</v>
      </c>
      <c r="M28" s="196">
        <f t="shared" si="10"/>
        <v>595</v>
      </c>
      <c r="N28" s="196">
        <f t="shared" si="10"/>
        <v>1892</v>
      </c>
      <c r="O28" s="196">
        <f t="shared" si="10"/>
        <v>3000</v>
      </c>
      <c r="P28" s="192">
        <v>0</v>
      </c>
      <c r="Q28" s="297">
        <f t="shared" si="11"/>
        <v>14487</v>
      </c>
      <c r="R28" s="50"/>
      <c r="S28" s="298" t="s">
        <v>27</v>
      </c>
      <c r="T28" s="299"/>
      <c r="U28" s="299"/>
      <c r="V28" s="299"/>
      <c r="W28" s="299"/>
      <c r="X28" s="299"/>
      <c r="Y28" s="299"/>
      <c r="Z28" s="299"/>
      <c r="AA28" s="300"/>
      <c r="AB28" s="1138" t="s">
        <v>91</v>
      </c>
      <c r="AC28" s="1138"/>
      <c r="AD28" s="1139" t="s">
        <v>93</v>
      </c>
      <c r="AE28" s="1140"/>
      <c r="AF28" s="1141"/>
      <c r="AG28" s="17"/>
    </row>
    <row r="29" spans="1:34" ht="19.5" customHeight="1">
      <c r="A29" s="187">
        <v>5</v>
      </c>
      <c r="B29" s="296">
        <f t="shared" si="8"/>
        <v>42552</v>
      </c>
      <c r="C29" s="192">
        <v>6000</v>
      </c>
      <c r="D29" s="192">
        <f>IF('Emp.-Detail'!F13="YES",K13)+IF('Emp.-Detail'!F13="NO",I13,0)</f>
        <v>0</v>
      </c>
      <c r="E29" s="195"/>
      <c r="F29" s="287">
        <f t="shared" si="9"/>
        <v>6000</v>
      </c>
      <c r="G29" s="192">
        <f t="shared" si="10"/>
        <v>0</v>
      </c>
      <c r="H29" s="194">
        <f t="shared" si="10"/>
        <v>0</v>
      </c>
      <c r="I29" s="192">
        <f t="shared" si="10"/>
        <v>3000</v>
      </c>
      <c r="J29" s="195">
        <f t="shared" si="10"/>
        <v>0</v>
      </c>
      <c r="K29" s="195"/>
      <c r="L29" s="195">
        <f t="shared" si="10"/>
        <v>0</v>
      </c>
      <c r="M29" s="196">
        <f t="shared" si="10"/>
        <v>595</v>
      </c>
      <c r="N29" s="196">
        <f t="shared" si="10"/>
        <v>1892</v>
      </c>
      <c r="O29" s="196">
        <f t="shared" si="10"/>
        <v>3000</v>
      </c>
      <c r="P29" s="192">
        <v>0</v>
      </c>
      <c r="Q29" s="297">
        <f t="shared" si="11"/>
        <v>14487</v>
      </c>
      <c r="R29" s="303"/>
      <c r="S29" s="558" t="s">
        <v>176</v>
      </c>
      <c r="T29" s="559"/>
      <c r="U29" s="559"/>
      <c r="V29" s="559"/>
      <c r="W29" s="559"/>
      <c r="X29" s="559"/>
      <c r="Y29" s="559"/>
      <c r="Z29" s="559"/>
      <c r="AA29" s="559"/>
      <c r="AB29" s="831">
        <f>C48</f>
        <v>0</v>
      </c>
      <c r="AC29" s="832"/>
      <c r="AD29" s="957">
        <f>IF(AB29&lt;=50000,AB29,50000)</f>
        <v>0</v>
      </c>
      <c r="AE29" s="831"/>
      <c r="AF29" s="955"/>
      <c r="AG29" s="17"/>
    </row>
    <row r="30" spans="1:34" ht="19.5" customHeight="1">
      <c r="A30" s="187">
        <v>6</v>
      </c>
      <c r="B30" s="296">
        <f t="shared" si="8"/>
        <v>42583</v>
      </c>
      <c r="C30" s="192">
        <v>6000</v>
      </c>
      <c r="D30" s="192">
        <f>IF('Emp.-Detail'!F13="YES",K14)+IF('Emp.-Detail'!F13="NO",J14,0)</f>
        <v>4407</v>
      </c>
      <c r="E30" s="195"/>
      <c r="F30" s="287">
        <f t="shared" si="9"/>
        <v>10407</v>
      </c>
      <c r="G30" s="192">
        <f t="shared" si="10"/>
        <v>0</v>
      </c>
      <c r="H30" s="194">
        <f t="shared" si="10"/>
        <v>0</v>
      </c>
      <c r="I30" s="192">
        <f t="shared" si="10"/>
        <v>3000</v>
      </c>
      <c r="J30" s="195">
        <f t="shared" si="10"/>
        <v>0</v>
      </c>
      <c r="K30" s="195"/>
      <c r="L30" s="195">
        <f t="shared" si="10"/>
        <v>0</v>
      </c>
      <c r="M30" s="196">
        <f t="shared" si="10"/>
        <v>595</v>
      </c>
      <c r="N30" s="196">
        <f t="shared" si="10"/>
        <v>1892</v>
      </c>
      <c r="O30" s="196">
        <f t="shared" si="10"/>
        <v>3000</v>
      </c>
      <c r="P30" s="192">
        <v>0</v>
      </c>
      <c r="Q30" s="297">
        <f t="shared" si="11"/>
        <v>18894</v>
      </c>
      <c r="R30" s="303"/>
      <c r="S30" s="947" t="s">
        <v>594</v>
      </c>
      <c r="T30" s="559"/>
      <c r="U30" s="559"/>
      <c r="V30" s="559"/>
      <c r="W30" s="559"/>
      <c r="X30" s="559"/>
      <c r="Y30" s="559"/>
      <c r="Z30" s="559"/>
      <c r="AA30" s="559"/>
      <c r="AB30" s="831">
        <f>C49</f>
        <v>0</v>
      </c>
      <c r="AC30" s="832"/>
      <c r="AD30" s="941">
        <f>IF(AB30&lt;=60000,AB30,60000)</f>
        <v>0</v>
      </c>
      <c r="AE30" s="942"/>
      <c r="AF30" s="943"/>
      <c r="AG30" s="17"/>
    </row>
    <row r="31" spans="1:34" ht="19.5" customHeight="1">
      <c r="A31" s="187">
        <v>7</v>
      </c>
      <c r="B31" s="296">
        <f t="shared" si="8"/>
        <v>42614</v>
      </c>
      <c r="C31" s="192">
        <v>6000</v>
      </c>
      <c r="D31" s="192">
        <f>IF('Emp.-Detail'!F13="YES",K15)+IF('Emp.-Detail'!F13="NO",J15,0)</f>
        <v>0</v>
      </c>
      <c r="E31" s="195"/>
      <c r="F31" s="287">
        <f t="shared" si="9"/>
        <v>6000</v>
      </c>
      <c r="G31" s="192">
        <f t="shared" si="10"/>
        <v>0</v>
      </c>
      <c r="H31" s="194">
        <f t="shared" si="10"/>
        <v>0</v>
      </c>
      <c r="I31" s="192">
        <f t="shared" si="10"/>
        <v>3000</v>
      </c>
      <c r="J31" s="195">
        <f t="shared" si="10"/>
        <v>0</v>
      </c>
      <c r="K31" s="195"/>
      <c r="L31" s="195">
        <f t="shared" si="10"/>
        <v>0</v>
      </c>
      <c r="M31" s="196">
        <f t="shared" si="10"/>
        <v>595</v>
      </c>
      <c r="N31" s="196">
        <f t="shared" si="10"/>
        <v>1892</v>
      </c>
      <c r="O31" s="196">
        <f t="shared" si="10"/>
        <v>3000</v>
      </c>
      <c r="P31" s="192">
        <v>0</v>
      </c>
      <c r="Q31" s="297">
        <f t="shared" si="11"/>
        <v>14487</v>
      </c>
      <c r="R31" s="303"/>
      <c r="S31" s="947" t="s">
        <v>595</v>
      </c>
      <c r="T31" s="559"/>
      <c r="U31" s="559"/>
      <c r="V31" s="559"/>
      <c r="W31" s="559"/>
      <c r="X31" s="559"/>
      <c r="Y31" s="559"/>
      <c r="Z31" s="559"/>
      <c r="AA31" s="559"/>
      <c r="AB31" s="831">
        <f>C50</f>
        <v>0</v>
      </c>
      <c r="AC31" s="832"/>
      <c r="AD31" s="941">
        <f>IF(AB31&lt;=125000,AB31,125000)</f>
        <v>0</v>
      </c>
      <c r="AE31" s="942"/>
      <c r="AF31" s="943"/>
      <c r="AG31" s="17"/>
    </row>
    <row r="32" spans="1:34" ht="19.5" customHeight="1">
      <c r="A32" s="187">
        <v>8</v>
      </c>
      <c r="B32" s="296">
        <f t="shared" si="8"/>
        <v>42644</v>
      </c>
      <c r="C32" s="192">
        <v>6000</v>
      </c>
      <c r="D32" s="192">
        <f>IF('Emp.-Detail'!F13="YES",K16)+IF('Emp.-Detail'!F13="NO",J16,0)</f>
        <v>0</v>
      </c>
      <c r="E32" s="195"/>
      <c r="F32" s="287">
        <f t="shared" si="9"/>
        <v>6000</v>
      </c>
      <c r="G32" s="192">
        <f t="shared" si="10"/>
        <v>0</v>
      </c>
      <c r="H32" s="194">
        <f t="shared" si="10"/>
        <v>0</v>
      </c>
      <c r="I32" s="192">
        <f t="shared" si="10"/>
        <v>3000</v>
      </c>
      <c r="J32" s="195">
        <f t="shared" si="10"/>
        <v>0</v>
      </c>
      <c r="K32" s="195"/>
      <c r="L32" s="195">
        <f t="shared" si="10"/>
        <v>0</v>
      </c>
      <c r="M32" s="196">
        <f t="shared" si="10"/>
        <v>595</v>
      </c>
      <c r="N32" s="196">
        <f t="shared" si="10"/>
        <v>1892</v>
      </c>
      <c r="O32" s="196">
        <f t="shared" si="10"/>
        <v>3000</v>
      </c>
      <c r="P32" s="192">
        <v>0</v>
      </c>
      <c r="Q32" s="297">
        <f t="shared" si="11"/>
        <v>14487</v>
      </c>
      <c r="R32" s="304"/>
      <c r="S32" s="558" t="s">
        <v>177</v>
      </c>
      <c r="T32" s="559"/>
      <c r="U32" s="559"/>
      <c r="V32" s="559"/>
      <c r="W32" s="559"/>
      <c r="X32" s="559"/>
      <c r="Y32" s="559"/>
      <c r="Z32" s="559"/>
      <c r="AA32" s="559"/>
      <c r="AB32" s="831">
        <f>C51</f>
        <v>0</v>
      </c>
      <c r="AC32" s="832"/>
      <c r="AD32" s="941">
        <f>IF(AB32&lt;=60000,AB32,60000)</f>
        <v>0</v>
      </c>
      <c r="AE32" s="942"/>
      <c r="AF32" s="943"/>
      <c r="AG32" s="17"/>
    </row>
    <row r="33" spans="1:33" ht="19.5" customHeight="1">
      <c r="A33" s="187">
        <v>9</v>
      </c>
      <c r="B33" s="296">
        <f t="shared" si="8"/>
        <v>42675</v>
      </c>
      <c r="C33" s="192">
        <v>6000</v>
      </c>
      <c r="D33" s="192">
        <f>IF('Emp.-Detail'!F13="YES",K17)+IF('Emp.-Detail'!F13="NO",J17,0)</f>
        <v>0</v>
      </c>
      <c r="E33" s="195"/>
      <c r="F33" s="287">
        <f t="shared" si="9"/>
        <v>6000</v>
      </c>
      <c r="G33" s="192">
        <f t="shared" si="10"/>
        <v>0</v>
      </c>
      <c r="H33" s="194">
        <f t="shared" si="10"/>
        <v>0</v>
      </c>
      <c r="I33" s="192">
        <f t="shared" si="10"/>
        <v>3000</v>
      </c>
      <c r="J33" s="195">
        <f t="shared" si="10"/>
        <v>0</v>
      </c>
      <c r="K33" s="195"/>
      <c r="L33" s="195">
        <f t="shared" si="10"/>
        <v>0</v>
      </c>
      <c r="M33" s="196">
        <f t="shared" si="10"/>
        <v>595</v>
      </c>
      <c r="N33" s="196">
        <f t="shared" si="10"/>
        <v>1892</v>
      </c>
      <c r="O33" s="196">
        <f t="shared" si="10"/>
        <v>3000</v>
      </c>
      <c r="P33" s="192">
        <v>0</v>
      </c>
      <c r="Q33" s="297">
        <f t="shared" si="11"/>
        <v>14487</v>
      </c>
      <c r="R33" s="304"/>
      <c r="S33" s="558" t="s">
        <v>165</v>
      </c>
      <c r="T33" s="559"/>
      <c r="U33" s="559"/>
      <c r="V33" s="559"/>
      <c r="W33" s="559"/>
      <c r="X33" s="559"/>
      <c r="Y33" s="559"/>
      <c r="Z33" s="559"/>
      <c r="AA33" s="559"/>
      <c r="AB33" s="831">
        <f>C52</f>
        <v>0</v>
      </c>
      <c r="AC33" s="832"/>
      <c r="AD33" s="941">
        <f>AB33</f>
        <v>0</v>
      </c>
      <c r="AE33" s="942"/>
      <c r="AF33" s="943"/>
      <c r="AG33" s="17"/>
    </row>
    <row r="34" spans="1:33" ht="19.5" customHeight="1">
      <c r="A34" s="187">
        <v>10</v>
      </c>
      <c r="B34" s="296">
        <f t="shared" si="8"/>
        <v>42705</v>
      </c>
      <c r="C34" s="192">
        <v>6000</v>
      </c>
      <c r="D34" s="192">
        <f>IF('Emp.-Detail'!F13="YES",K18)+IF('Emp.-Detail'!F13="NO",J18,0)</f>
        <v>0</v>
      </c>
      <c r="E34" s="195"/>
      <c r="F34" s="287">
        <f t="shared" si="9"/>
        <v>6000</v>
      </c>
      <c r="G34" s="192">
        <f t="shared" si="10"/>
        <v>0</v>
      </c>
      <c r="H34" s="194">
        <f t="shared" si="10"/>
        <v>0</v>
      </c>
      <c r="I34" s="192">
        <f t="shared" si="10"/>
        <v>3000</v>
      </c>
      <c r="J34" s="195">
        <f t="shared" si="10"/>
        <v>0</v>
      </c>
      <c r="K34" s="195"/>
      <c r="L34" s="195">
        <f t="shared" si="10"/>
        <v>0</v>
      </c>
      <c r="M34" s="196">
        <f t="shared" si="10"/>
        <v>595</v>
      </c>
      <c r="N34" s="196">
        <f t="shared" si="10"/>
        <v>1892</v>
      </c>
      <c r="O34" s="196">
        <f t="shared" si="10"/>
        <v>3000</v>
      </c>
      <c r="P34" s="192">
        <v>0</v>
      </c>
      <c r="Q34" s="297">
        <f t="shared" si="11"/>
        <v>14487</v>
      </c>
      <c r="R34" s="304"/>
      <c r="S34" s="558" t="s">
        <v>301</v>
      </c>
      <c r="T34" s="559"/>
      <c r="U34" s="559"/>
      <c r="V34" s="559"/>
      <c r="W34" s="559"/>
      <c r="X34" s="559"/>
      <c r="Y34" s="559"/>
      <c r="Z34" s="559"/>
      <c r="AA34" s="559"/>
      <c r="AB34" s="831">
        <f>I48</f>
        <v>0</v>
      </c>
      <c r="AC34" s="832"/>
      <c r="AD34" s="941">
        <f>AB34*0.5</f>
        <v>0</v>
      </c>
      <c r="AE34" s="942"/>
      <c r="AF34" s="943"/>
      <c r="AG34" s="17"/>
    </row>
    <row r="35" spans="1:33" ht="19.5" customHeight="1">
      <c r="A35" s="187">
        <v>11</v>
      </c>
      <c r="B35" s="296">
        <f t="shared" si="8"/>
        <v>42736</v>
      </c>
      <c r="C35" s="192">
        <v>6000</v>
      </c>
      <c r="D35" s="192">
        <f>IF('Emp.-Detail'!F13="YES",K19)+IF('Emp.-Detail'!F13="NO",J19,0)</f>
        <v>0</v>
      </c>
      <c r="E35" s="195"/>
      <c r="F35" s="287">
        <f t="shared" si="9"/>
        <v>6000</v>
      </c>
      <c r="G35" s="192">
        <f t="shared" si="10"/>
        <v>0</v>
      </c>
      <c r="H35" s="194">
        <f t="shared" si="10"/>
        <v>0</v>
      </c>
      <c r="I35" s="192">
        <f t="shared" si="10"/>
        <v>3000</v>
      </c>
      <c r="J35" s="195">
        <f t="shared" si="10"/>
        <v>0</v>
      </c>
      <c r="K35" s="195"/>
      <c r="L35" s="195">
        <f t="shared" si="10"/>
        <v>0</v>
      </c>
      <c r="M35" s="196">
        <f t="shared" si="10"/>
        <v>595</v>
      </c>
      <c r="N35" s="196">
        <f t="shared" si="10"/>
        <v>1892</v>
      </c>
      <c r="O35" s="196">
        <f t="shared" si="10"/>
        <v>3000</v>
      </c>
      <c r="P35" s="192">
        <v>0</v>
      </c>
      <c r="Q35" s="297">
        <f t="shared" si="11"/>
        <v>14487</v>
      </c>
      <c r="R35" s="304"/>
      <c r="S35" s="558" t="s">
        <v>189</v>
      </c>
      <c r="T35" s="559"/>
      <c r="U35" s="559"/>
      <c r="V35" s="559"/>
      <c r="W35" s="559"/>
      <c r="X35" s="559"/>
      <c r="Y35" s="559"/>
      <c r="Z35" s="559"/>
      <c r="AA35" s="559"/>
      <c r="AB35" s="831">
        <f>I49</f>
        <v>0</v>
      </c>
      <c r="AC35" s="832"/>
      <c r="AD35" s="941">
        <f>AB35</f>
        <v>0</v>
      </c>
      <c r="AE35" s="942"/>
      <c r="AF35" s="943"/>
      <c r="AG35" s="17"/>
    </row>
    <row r="36" spans="1:33" ht="19.5" customHeight="1">
      <c r="A36" s="187">
        <v>12</v>
      </c>
      <c r="B36" s="296">
        <f t="shared" si="8"/>
        <v>42767</v>
      </c>
      <c r="C36" s="192">
        <v>6000</v>
      </c>
      <c r="D36" s="192">
        <f>IF('Emp.-Detail'!F13="YES",K20)+IF('Emp.-Detail'!F13="NO",J20,0)</f>
        <v>0</v>
      </c>
      <c r="E36" s="195"/>
      <c r="F36" s="287">
        <f t="shared" si="9"/>
        <v>6000</v>
      </c>
      <c r="G36" s="192">
        <f t="shared" si="10"/>
        <v>0</v>
      </c>
      <c r="H36" s="194">
        <f t="shared" si="10"/>
        <v>0</v>
      </c>
      <c r="I36" s="192">
        <f t="shared" si="10"/>
        <v>3000</v>
      </c>
      <c r="J36" s="195">
        <f t="shared" si="10"/>
        <v>0</v>
      </c>
      <c r="K36" s="195"/>
      <c r="L36" s="195">
        <f t="shared" si="10"/>
        <v>0</v>
      </c>
      <c r="M36" s="196">
        <f t="shared" si="10"/>
        <v>595</v>
      </c>
      <c r="N36" s="196">
        <f t="shared" si="10"/>
        <v>1892</v>
      </c>
      <c r="O36" s="196">
        <f t="shared" si="10"/>
        <v>3000</v>
      </c>
      <c r="P36" s="192">
        <v>0</v>
      </c>
      <c r="Q36" s="297">
        <f t="shared" si="11"/>
        <v>14487</v>
      </c>
      <c r="R36" s="304"/>
      <c r="S36" s="947" t="s">
        <v>596</v>
      </c>
      <c r="T36" s="559"/>
      <c r="U36" s="559"/>
      <c r="V36" s="559"/>
      <c r="W36" s="559"/>
      <c r="X36" s="559"/>
      <c r="Y36" s="559"/>
      <c r="Z36" s="559"/>
      <c r="AA36" s="559"/>
      <c r="AB36" s="831">
        <f>I50</f>
        <v>0</v>
      </c>
      <c r="AC36" s="832"/>
      <c r="AD36" s="941">
        <f>IF(AB36&lt;=125000,AB36,125000)</f>
        <v>0</v>
      </c>
      <c r="AE36" s="942"/>
      <c r="AF36" s="943"/>
      <c r="AG36" s="17"/>
    </row>
    <row r="37" spans="1:33" ht="19.5" customHeight="1">
      <c r="A37" s="1013" t="s">
        <v>2</v>
      </c>
      <c r="B37" s="1014"/>
      <c r="C37" s="287">
        <f>SUM(C25:C36)</f>
        <v>71000</v>
      </c>
      <c r="D37" s="287">
        <f>SUM(D25:D36)</f>
        <v>8685</v>
      </c>
      <c r="E37" s="306"/>
      <c r="F37" s="307">
        <f t="shared" si="9"/>
        <v>79685</v>
      </c>
      <c r="G37" s="287">
        <f t="shared" ref="G37:Q37" si="12">SUM(G25:G36)</f>
        <v>0</v>
      </c>
      <c r="H37" s="288">
        <f>SUM(H25:H36)</f>
        <v>0</v>
      </c>
      <c r="I37" s="287">
        <f t="shared" si="12"/>
        <v>36000</v>
      </c>
      <c r="J37" s="306">
        <f t="shared" si="12"/>
        <v>0</v>
      </c>
      <c r="K37" s="306"/>
      <c r="L37" s="306">
        <f t="shared" si="12"/>
        <v>0</v>
      </c>
      <c r="M37" s="308">
        <f t="shared" si="12"/>
        <v>7140</v>
      </c>
      <c r="N37" s="308">
        <f t="shared" si="12"/>
        <v>22704</v>
      </c>
      <c r="O37" s="308">
        <f t="shared" si="12"/>
        <v>35600</v>
      </c>
      <c r="P37" s="288">
        <f t="shared" si="12"/>
        <v>251.9</v>
      </c>
      <c r="Q37" s="305">
        <f t="shared" si="12"/>
        <v>181380.9</v>
      </c>
      <c r="R37" s="304"/>
      <c r="S37" s="1082" t="s">
        <v>597</v>
      </c>
      <c r="T37" s="1083"/>
      <c r="U37" s="1083"/>
      <c r="V37" s="1083"/>
      <c r="W37" s="1083"/>
      <c r="X37" s="1083"/>
      <c r="Y37" s="1083"/>
      <c r="Z37" s="1083"/>
      <c r="AA37" s="1083"/>
      <c r="AB37" s="831">
        <f>I51</f>
        <v>0</v>
      </c>
      <c r="AC37" s="832"/>
      <c r="AD37" s="941">
        <f>IF(AB37&lt;=10000,AB37,10000)</f>
        <v>0</v>
      </c>
      <c r="AE37" s="942"/>
      <c r="AF37" s="943"/>
      <c r="AG37" s="17"/>
    </row>
    <row r="38" spans="1:33" ht="19.5" customHeight="1">
      <c r="A38" s="999" t="s">
        <v>12</v>
      </c>
      <c r="B38" s="860"/>
      <c r="C38" s="1000">
        <f>Q21</f>
        <v>724902</v>
      </c>
      <c r="D38" s="860"/>
      <c r="E38" s="309"/>
      <c r="F38" s="310"/>
      <c r="G38" s="1001" t="s">
        <v>13</v>
      </c>
      <c r="H38" s="1001"/>
      <c r="I38" s="1001"/>
      <c r="J38" s="860">
        <f>Q37</f>
        <v>181380.9</v>
      </c>
      <c r="K38" s="860"/>
      <c r="L38" s="860"/>
      <c r="M38" s="310"/>
      <c r="N38" s="998" t="s">
        <v>15</v>
      </c>
      <c r="O38" s="998"/>
      <c r="P38" s="860">
        <f>Q21-Q37</f>
        <v>543521.1</v>
      </c>
      <c r="Q38" s="861"/>
      <c r="R38" s="304"/>
      <c r="S38" s="1079" t="s">
        <v>179</v>
      </c>
      <c r="T38" s="1067"/>
      <c r="U38" s="1067"/>
      <c r="V38" s="1067"/>
      <c r="W38" s="1067"/>
      <c r="X38" s="1067"/>
      <c r="Y38" s="1067"/>
      <c r="Z38" s="1067"/>
      <c r="AA38" s="1067"/>
      <c r="AB38" s="1067"/>
      <c r="AC38" s="1067"/>
      <c r="AD38" s="944">
        <f>SUM(AD29:AD37)</f>
        <v>0</v>
      </c>
      <c r="AE38" s="945"/>
      <c r="AF38" s="946"/>
      <c r="AG38" s="17"/>
    </row>
    <row r="39" spans="1:33" ht="19.5" customHeight="1">
      <c r="A39" s="871" t="s">
        <v>107</v>
      </c>
      <c r="B39" s="872"/>
      <c r="C39" s="872"/>
      <c r="D39" s="872"/>
      <c r="E39" s="872"/>
      <c r="F39" s="872"/>
      <c r="G39" s="872"/>
      <c r="H39" s="872"/>
      <c r="I39" s="872"/>
      <c r="J39" s="872"/>
      <c r="K39" s="872"/>
      <c r="L39" s="872"/>
      <c r="M39" s="872"/>
      <c r="N39" s="872"/>
      <c r="O39" s="872"/>
      <c r="P39" s="872"/>
      <c r="Q39" s="1193"/>
      <c r="R39" s="304"/>
      <c r="S39" s="1079" t="s">
        <v>178</v>
      </c>
      <c r="T39" s="1067"/>
      <c r="U39" s="1067"/>
      <c r="V39" s="1067"/>
      <c r="W39" s="1067"/>
      <c r="X39" s="1067"/>
      <c r="Y39" s="1067"/>
      <c r="Z39" s="1067"/>
      <c r="AA39" s="1067"/>
      <c r="AB39" s="1067"/>
      <c r="AC39" s="1067"/>
      <c r="AD39" s="948">
        <f>AD27-AD38</f>
        <v>586293</v>
      </c>
      <c r="AE39" s="949"/>
      <c r="AF39" s="950"/>
      <c r="AG39" s="17"/>
    </row>
    <row r="40" spans="1:33" ht="19.5" customHeight="1">
      <c r="A40" s="865" t="s">
        <v>95</v>
      </c>
      <c r="B40" s="866"/>
      <c r="C40" s="866"/>
      <c r="D40" s="867"/>
      <c r="E40" s="213"/>
      <c r="F40" s="862">
        <v>0</v>
      </c>
      <c r="G40" s="863"/>
      <c r="H40" s="863"/>
      <c r="I40" s="864"/>
      <c r="J40" s="997" t="s">
        <v>100</v>
      </c>
      <c r="K40" s="866"/>
      <c r="L40" s="866"/>
      <c r="M40" s="866"/>
      <c r="N40" s="866"/>
      <c r="O40" s="867"/>
      <c r="P40" s="862">
        <v>0</v>
      </c>
      <c r="Q40" s="1019"/>
      <c r="R40" s="197"/>
      <c r="S40" s="1079" t="s">
        <v>82</v>
      </c>
      <c r="T40" s="1067"/>
      <c r="U40" s="1067"/>
      <c r="V40" s="1067"/>
      <c r="W40" s="1067"/>
      <c r="X40" s="1067"/>
      <c r="Y40" s="1067"/>
      <c r="Z40" s="1067"/>
      <c r="AA40" s="1067"/>
      <c r="AB40" s="1067"/>
      <c r="AC40" s="1067"/>
      <c r="AD40" s="796">
        <f>ROUND(AD39,-1)</f>
        <v>586290</v>
      </c>
      <c r="AE40" s="860"/>
      <c r="AF40" s="861"/>
      <c r="AG40" s="17"/>
    </row>
    <row r="41" spans="1:33" ht="19.5" customHeight="1">
      <c r="A41" s="865" t="s">
        <v>298</v>
      </c>
      <c r="B41" s="866"/>
      <c r="C41" s="866"/>
      <c r="D41" s="867"/>
      <c r="E41" s="213"/>
      <c r="F41" s="862">
        <v>0</v>
      </c>
      <c r="G41" s="863"/>
      <c r="H41" s="863"/>
      <c r="I41" s="864"/>
      <c r="J41" s="997" t="s">
        <v>101</v>
      </c>
      <c r="K41" s="866"/>
      <c r="L41" s="866"/>
      <c r="M41" s="866"/>
      <c r="N41" s="866"/>
      <c r="O41" s="867"/>
      <c r="P41" s="862">
        <v>0</v>
      </c>
      <c r="Q41" s="1019"/>
      <c r="R41" s="197"/>
      <c r="S41" s="1068" t="s">
        <v>180</v>
      </c>
      <c r="T41" s="1069"/>
      <c r="U41" s="1069"/>
      <c r="V41" s="1069"/>
      <c r="W41" s="1069"/>
      <c r="X41" s="1069"/>
      <c r="Y41" s="1069"/>
      <c r="Z41" s="1069"/>
      <c r="AA41" s="1069"/>
      <c r="AB41" s="1069"/>
      <c r="AC41" s="1069"/>
      <c r="AD41" s="951">
        <f>ROUND(IF(AD40&lt;=250000,0,IF(AD40&lt;=500000,(AD40-250000)*10%,IF(AD40&lt;=1000000,25000+(AD40-500000)*20%,IF(AD40&gt;1000000,125000+(AD40-1000000)*30%,"0")))),0)</f>
        <v>42258</v>
      </c>
      <c r="AE41" s="951"/>
      <c r="AF41" s="952"/>
      <c r="AG41" s="17"/>
    </row>
    <row r="42" spans="1:33" ht="19.5" customHeight="1">
      <c r="A42" s="865" t="s">
        <v>96</v>
      </c>
      <c r="B42" s="866"/>
      <c r="C42" s="866"/>
      <c r="D42" s="867"/>
      <c r="E42" s="213"/>
      <c r="F42" s="862">
        <v>0</v>
      </c>
      <c r="G42" s="863"/>
      <c r="H42" s="863"/>
      <c r="I42" s="864"/>
      <c r="J42" s="997" t="s">
        <v>102</v>
      </c>
      <c r="K42" s="866"/>
      <c r="L42" s="866"/>
      <c r="M42" s="866"/>
      <c r="N42" s="866"/>
      <c r="O42" s="867"/>
      <c r="P42" s="862">
        <v>0</v>
      </c>
      <c r="Q42" s="1019"/>
      <c r="R42" s="197"/>
      <c r="S42" s="954" t="s">
        <v>181</v>
      </c>
      <c r="T42" s="833"/>
      <c r="U42" s="833"/>
      <c r="V42" s="833"/>
      <c r="W42" s="833"/>
      <c r="X42" s="833"/>
      <c r="Y42" s="833"/>
      <c r="Z42" s="833"/>
      <c r="AA42" s="833"/>
      <c r="AB42" s="833"/>
      <c r="AC42" s="833"/>
      <c r="AD42" s="951">
        <f>IF(AND(AD40&lt;=500000,AD41&gt;=5000),AD41-5000,IF(AND(AD40&lt;=500000,AD41&lt;5000),0,AD41))</f>
        <v>42258</v>
      </c>
      <c r="AE42" s="951"/>
      <c r="AF42" s="952"/>
      <c r="AG42" s="17"/>
    </row>
    <row r="43" spans="1:33" ht="19.5" customHeight="1">
      <c r="A43" s="865" t="s">
        <v>97</v>
      </c>
      <c r="B43" s="866"/>
      <c r="C43" s="866"/>
      <c r="D43" s="867"/>
      <c r="E43" s="213"/>
      <c r="F43" s="862">
        <v>0</v>
      </c>
      <c r="G43" s="863"/>
      <c r="H43" s="863"/>
      <c r="I43" s="864"/>
      <c r="J43" s="997" t="s">
        <v>103</v>
      </c>
      <c r="K43" s="866"/>
      <c r="L43" s="866"/>
      <c r="M43" s="866"/>
      <c r="N43" s="866"/>
      <c r="O43" s="867"/>
      <c r="P43" s="862">
        <v>0</v>
      </c>
      <c r="Q43" s="1019"/>
      <c r="R43" s="197"/>
      <c r="S43" s="1079" t="s">
        <v>83</v>
      </c>
      <c r="T43" s="1067"/>
      <c r="U43" s="949">
        <f>ROUND((AD42*2%),0)</f>
        <v>845</v>
      </c>
      <c r="V43" s="949"/>
      <c r="W43" s="949"/>
      <c r="X43" s="1067" t="s">
        <v>84</v>
      </c>
      <c r="Y43" s="1067"/>
      <c r="Z43" s="1067"/>
      <c r="AA43" s="953">
        <f>ROUND((AD42*1%),0)</f>
        <v>423</v>
      </c>
      <c r="AB43" s="953"/>
      <c r="AC43" s="953"/>
      <c r="AD43" s="951">
        <f>U43+AA43</f>
        <v>1268</v>
      </c>
      <c r="AE43" s="951"/>
      <c r="AF43" s="952"/>
      <c r="AG43" s="17"/>
    </row>
    <row r="44" spans="1:33" ht="19.5" customHeight="1">
      <c r="A44" s="865" t="s">
        <v>98</v>
      </c>
      <c r="B44" s="866"/>
      <c r="C44" s="866"/>
      <c r="D44" s="867"/>
      <c r="E44" s="213"/>
      <c r="F44" s="862">
        <v>0</v>
      </c>
      <c r="G44" s="863"/>
      <c r="H44" s="863"/>
      <c r="I44" s="864"/>
      <c r="J44" s="997" t="s">
        <v>104</v>
      </c>
      <c r="K44" s="866"/>
      <c r="L44" s="866"/>
      <c r="M44" s="866"/>
      <c r="N44" s="866"/>
      <c r="O44" s="867"/>
      <c r="P44" s="862">
        <v>0</v>
      </c>
      <c r="Q44" s="1019"/>
      <c r="R44" s="22"/>
      <c r="S44" s="1071" t="s">
        <v>85</v>
      </c>
      <c r="T44" s="1072"/>
      <c r="U44" s="1072"/>
      <c r="V44" s="1072"/>
      <c r="W44" s="1072"/>
      <c r="X44" s="1072"/>
      <c r="Y44" s="1072"/>
      <c r="Z44" s="1072"/>
      <c r="AA44" s="1072"/>
      <c r="AB44" s="1072"/>
      <c r="AC44" s="1072"/>
      <c r="AD44" s="951">
        <f>AD42+AD43</f>
        <v>43526</v>
      </c>
      <c r="AE44" s="951"/>
      <c r="AF44" s="952"/>
      <c r="AG44" s="17"/>
    </row>
    <row r="45" spans="1:33" ht="19.5" customHeight="1">
      <c r="A45" s="865" t="s">
        <v>99</v>
      </c>
      <c r="B45" s="866"/>
      <c r="C45" s="866"/>
      <c r="D45" s="867"/>
      <c r="E45" s="213"/>
      <c r="F45" s="862">
        <v>0</v>
      </c>
      <c r="G45" s="863"/>
      <c r="H45" s="863"/>
      <c r="I45" s="864"/>
      <c r="J45" s="994" t="s">
        <v>25</v>
      </c>
      <c r="K45" s="995"/>
      <c r="L45" s="995"/>
      <c r="M45" s="995"/>
      <c r="N45" s="995"/>
      <c r="O45" s="996"/>
      <c r="P45" s="862">
        <v>0</v>
      </c>
      <c r="Q45" s="1019"/>
      <c r="R45" s="22"/>
      <c r="S45" s="1073" t="s">
        <v>86</v>
      </c>
      <c r="T45" s="949"/>
      <c r="U45" s="949"/>
      <c r="V45" s="949"/>
      <c r="W45" s="949"/>
      <c r="X45" s="949"/>
      <c r="Y45" s="949"/>
      <c r="Z45" s="949"/>
      <c r="AA45" s="949"/>
      <c r="AB45" s="949"/>
      <c r="AC45" s="949"/>
      <c r="AD45" s="951">
        <v>0</v>
      </c>
      <c r="AE45" s="951"/>
      <c r="AF45" s="952"/>
      <c r="AG45" s="17"/>
    </row>
    <row r="46" spans="1:33" ht="19.5" customHeight="1">
      <c r="A46" s="865" t="s">
        <v>278</v>
      </c>
      <c r="B46" s="866"/>
      <c r="C46" s="866"/>
      <c r="D46" s="867"/>
      <c r="E46" s="213"/>
      <c r="F46" s="862">
        <v>0</v>
      </c>
      <c r="G46" s="863"/>
      <c r="H46" s="863"/>
      <c r="I46" s="864"/>
      <c r="J46" s="994" t="s">
        <v>26</v>
      </c>
      <c r="K46" s="995"/>
      <c r="L46" s="995"/>
      <c r="M46" s="995"/>
      <c r="N46" s="995"/>
      <c r="O46" s="996"/>
      <c r="P46" s="941">
        <f>IF('Emp.-Detail'!F13="NO",0,ROUND(E21+K21,0))</f>
        <v>0</v>
      </c>
      <c r="Q46" s="943"/>
      <c r="R46" s="22"/>
      <c r="S46" s="1071" t="s">
        <v>87</v>
      </c>
      <c r="T46" s="1072"/>
      <c r="U46" s="1072"/>
      <c r="V46" s="1072"/>
      <c r="W46" s="1072"/>
      <c r="X46" s="1072"/>
      <c r="Y46" s="1072"/>
      <c r="Z46" s="1072"/>
      <c r="AA46" s="1072"/>
      <c r="AB46" s="1072"/>
      <c r="AC46" s="1072"/>
      <c r="AD46" s="796">
        <f>AD44-AD45</f>
        <v>43526</v>
      </c>
      <c r="AE46" s="860"/>
      <c r="AF46" s="861"/>
      <c r="AG46" s="17"/>
    </row>
    <row r="47" spans="1:33" ht="19.5" customHeight="1">
      <c r="A47" s="871" t="s">
        <v>16</v>
      </c>
      <c r="B47" s="872"/>
      <c r="C47" s="872"/>
      <c r="D47" s="872"/>
      <c r="E47" s="872"/>
      <c r="F47" s="872"/>
      <c r="G47" s="872"/>
      <c r="H47" s="872"/>
      <c r="I47" s="872"/>
      <c r="J47" s="872"/>
      <c r="K47" s="212"/>
      <c r="L47" s="870" t="s">
        <v>193</v>
      </c>
      <c r="M47" s="870"/>
      <c r="N47" s="870"/>
      <c r="O47" s="1020">
        <v>0</v>
      </c>
      <c r="P47" s="1020"/>
      <c r="Q47" s="1195" t="s">
        <v>197</v>
      </c>
      <c r="R47" s="70"/>
      <c r="S47" s="1074" t="s">
        <v>280</v>
      </c>
      <c r="T47" s="1075"/>
      <c r="U47" s="1075"/>
      <c r="V47" s="1075"/>
      <c r="W47" s="1075"/>
      <c r="X47" s="1075"/>
      <c r="Y47" s="1075"/>
      <c r="Z47" s="1075"/>
      <c r="AA47" s="1075"/>
      <c r="AB47" s="1075"/>
      <c r="AC47" s="1075"/>
      <c r="AD47" s="1075"/>
      <c r="AE47" s="1075"/>
      <c r="AF47" s="198"/>
      <c r="AG47" s="17"/>
    </row>
    <row r="48" spans="1:33" ht="19.5" customHeight="1">
      <c r="A48" s="868" t="s">
        <v>187</v>
      </c>
      <c r="B48" s="869"/>
      <c r="C48" s="862">
        <v>0</v>
      </c>
      <c r="D48" s="864"/>
      <c r="E48" s="214"/>
      <c r="F48" s="828" t="s">
        <v>106</v>
      </c>
      <c r="G48" s="829"/>
      <c r="H48" s="824"/>
      <c r="I48" s="862">
        <v>0</v>
      </c>
      <c r="J48" s="863"/>
      <c r="K48" s="214"/>
      <c r="L48" s="870" t="s">
        <v>192</v>
      </c>
      <c r="M48" s="870"/>
      <c r="N48" s="870"/>
      <c r="O48" s="1020">
        <v>0</v>
      </c>
      <c r="P48" s="1020"/>
      <c r="Q48" s="1195"/>
      <c r="R48" s="70"/>
      <c r="S48" s="1076" t="s">
        <v>182</v>
      </c>
      <c r="T48" s="1077"/>
      <c r="U48" s="1077"/>
      <c r="V48" s="1078" t="s">
        <v>183</v>
      </c>
      <c r="W48" s="1078"/>
      <c r="X48" s="1078"/>
      <c r="Y48" s="1078" t="s">
        <v>184</v>
      </c>
      <c r="Z48" s="1078"/>
      <c r="AA48" s="1078"/>
      <c r="AB48" s="536" t="s">
        <v>185</v>
      </c>
      <c r="AC48" s="536"/>
      <c r="AD48" s="536"/>
      <c r="AE48" s="536"/>
      <c r="AF48" s="199"/>
      <c r="AG48" s="17"/>
    </row>
    <row r="49" spans="1:35" ht="19.5" customHeight="1">
      <c r="A49" s="823" t="s">
        <v>78</v>
      </c>
      <c r="B49" s="824"/>
      <c r="C49" s="862">
        <v>0</v>
      </c>
      <c r="D49" s="864"/>
      <c r="E49" s="214"/>
      <c r="F49" s="828" t="s">
        <v>188</v>
      </c>
      <c r="G49" s="829"/>
      <c r="H49" s="824"/>
      <c r="I49" s="862">
        <v>0</v>
      </c>
      <c r="J49" s="863"/>
      <c r="K49" s="214"/>
      <c r="L49" s="1194" t="s">
        <v>194</v>
      </c>
      <c r="M49" s="1194"/>
      <c r="N49" s="1194"/>
      <c r="O49" s="1020">
        <v>0</v>
      </c>
      <c r="P49" s="1020"/>
      <c r="Q49" s="216">
        <v>0</v>
      </c>
      <c r="R49" s="176"/>
      <c r="S49" s="1080">
        <f>SUM(O25:O27)</f>
        <v>8600</v>
      </c>
      <c r="T49" s="1081"/>
      <c r="U49" s="1081"/>
      <c r="V49" s="1070">
        <f>SUM(O28:O30)</f>
        <v>9000</v>
      </c>
      <c r="W49" s="1070"/>
      <c r="X49" s="1070"/>
      <c r="Y49" s="1070">
        <f>SUM(O31:O33)</f>
        <v>9000</v>
      </c>
      <c r="Z49" s="1070"/>
      <c r="AA49" s="1070"/>
      <c r="AB49" s="951">
        <f>SUM(O34:O36)</f>
        <v>9000</v>
      </c>
      <c r="AC49" s="951"/>
      <c r="AD49" s="951"/>
      <c r="AE49" s="951"/>
      <c r="AF49" s="199"/>
      <c r="AG49" s="17"/>
    </row>
    <row r="50" spans="1:35" ht="19.5" customHeight="1">
      <c r="A50" s="823" t="s">
        <v>79</v>
      </c>
      <c r="B50" s="824"/>
      <c r="C50" s="1020">
        <v>0</v>
      </c>
      <c r="D50" s="1020"/>
      <c r="E50" s="210"/>
      <c r="F50" s="828" t="s">
        <v>81</v>
      </c>
      <c r="G50" s="829"/>
      <c r="H50" s="824"/>
      <c r="I50" s="1020">
        <v>0</v>
      </c>
      <c r="J50" s="862"/>
      <c r="K50" s="210"/>
      <c r="L50" s="870" t="s">
        <v>195</v>
      </c>
      <c r="M50" s="870"/>
      <c r="N50" s="870"/>
      <c r="O50" s="1020">
        <v>0</v>
      </c>
      <c r="P50" s="1020"/>
      <c r="Q50" s="1021"/>
      <c r="R50" s="70"/>
      <c r="S50" s="1065" t="s">
        <v>281</v>
      </c>
      <c r="T50" s="1066"/>
      <c r="U50" s="1066"/>
      <c r="V50" s="1066"/>
      <c r="W50" s="1066"/>
      <c r="X50" s="1066"/>
      <c r="Y50" s="1066"/>
      <c r="Z50" s="1066"/>
      <c r="AA50" s="1066"/>
      <c r="AB50" s="1066"/>
      <c r="AC50" s="1066"/>
      <c r="AD50" s="796">
        <f>S49+V49+Y49+AB49</f>
        <v>35600</v>
      </c>
      <c r="AE50" s="796"/>
      <c r="AF50" s="797"/>
      <c r="AG50" s="17"/>
    </row>
    <row r="51" spans="1:35" ht="19.5" customHeight="1">
      <c r="A51" s="823" t="s">
        <v>80</v>
      </c>
      <c r="B51" s="824"/>
      <c r="C51" s="862">
        <v>0</v>
      </c>
      <c r="D51" s="864"/>
      <c r="E51" s="215"/>
      <c r="F51" s="828" t="s">
        <v>142</v>
      </c>
      <c r="G51" s="829"/>
      <c r="H51" s="824"/>
      <c r="I51" s="1020">
        <v>0</v>
      </c>
      <c r="J51" s="862"/>
      <c r="K51" s="210"/>
      <c r="L51" s="870" t="s">
        <v>196</v>
      </c>
      <c r="M51" s="870"/>
      <c r="N51" s="870"/>
      <c r="O51" s="1020">
        <v>0</v>
      </c>
      <c r="P51" s="1020"/>
      <c r="Q51" s="1022"/>
      <c r="R51" s="70"/>
      <c r="S51" s="1065" t="s">
        <v>89</v>
      </c>
      <c r="T51" s="1066"/>
      <c r="U51" s="1066"/>
      <c r="V51" s="1066"/>
      <c r="W51" s="1066"/>
      <c r="X51" s="1066"/>
      <c r="Y51" s="1066"/>
      <c r="Z51" s="1066"/>
      <c r="AA51" s="1066"/>
      <c r="AB51" s="1066"/>
      <c r="AC51" s="1066"/>
      <c r="AD51" s="951">
        <f>IF(AD46&gt;AD50,AD46-AD50,"0")</f>
        <v>7926</v>
      </c>
      <c r="AE51" s="951"/>
      <c r="AF51" s="952"/>
      <c r="AG51" s="17"/>
    </row>
    <row r="52" spans="1:35" ht="19.5" customHeight="1">
      <c r="A52" s="1167" t="s">
        <v>105</v>
      </c>
      <c r="B52" s="1168"/>
      <c r="C52" s="1169">
        <v>0</v>
      </c>
      <c r="D52" s="1169"/>
      <c r="E52" s="200"/>
      <c r="F52" s="830"/>
      <c r="G52" s="830"/>
      <c r="H52" s="830"/>
      <c r="I52" s="830"/>
      <c r="J52" s="830"/>
      <c r="K52" s="201"/>
      <c r="L52" s="870" t="s">
        <v>199</v>
      </c>
      <c r="M52" s="870"/>
      <c r="N52" s="870"/>
      <c r="O52" s="1020">
        <v>0</v>
      </c>
      <c r="P52" s="1020"/>
      <c r="Q52" s="1022"/>
      <c r="R52" s="70"/>
      <c r="S52" s="1065" t="s">
        <v>186</v>
      </c>
      <c r="T52" s="1066"/>
      <c r="U52" s="1066"/>
      <c r="V52" s="1066"/>
      <c r="W52" s="1066"/>
      <c r="X52" s="1066"/>
      <c r="Y52" s="1066"/>
      <c r="Z52" s="1066"/>
      <c r="AA52" s="1066"/>
      <c r="AB52" s="1066"/>
      <c r="AC52" s="1066"/>
      <c r="AD52" s="796" t="str">
        <f>IF(AD50&gt;AD46,AD46-AD50,"0")</f>
        <v>0</v>
      </c>
      <c r="AE52" s="796"/>
      <c r="AF52" s="797"/>
      <c r="AG52" s="17"/>
    </row>
    <row r="53" spans="1:35" ht="19.5" customHeight="1">
      <c r="A53" s="825" t="s">
        <v>593</v>
      </c>
      <c r="B53" s="826"/>
      <c r="C53" s="826"/>
      <c r="D53" s="826"/>
      <c r="E53" s="826"/>
      <c r="F53" s="826"/>
      <c r="G53" s="826"/>
      <c r="H53" s="827"/>
      <c r="I53" s="1020">
        <v>0</v>
      </c>
      <c r="J53" s="862"/>
      <c r="K53" s="210"/>
      <c r="L53" s="870" t="s">
        <v>200</v>
      </c>
      <c r="M53" s="870"/>
      <c r="N53" s="870"/>
      <c r="O53" s="1020">
        <v>0</v>
      </c>
      <c r="P53" s="1020"/>
      <c r="Q53" s="1022"/>
      <c r="R53" s="70"/>
      <c r="S53" s="1201"/>
      <c r="T53" s="1200"/>
      <c r="U53" s="1200"/>
      <c r="V53" s="1200"/>
      <c r="W53" s="1200"/>
      <c r="X53" s="1200"/>
      <c r="Y53" s="1200"/>
      <c r="Z53" s="1200"/>
      <c r="AA53" s="1200"/>
      <c r="AB53" s="1200"/>
      <c r="AC53" s="1200"/>
      <c r="AD53" s="1200"/>
      <c r="AE53" s="1200"/>
      <c r="AF53" s="313"/>
      <c r="AG53" s="17"/>
      <c r="AH53" s="2"/>
    </row>
    <row r="54" spans="1:35" ht="19.5" customHeight="1">
      <c r="A54" s="825" t="s">
        <v>190</v>
      </c>
      <c r="B54" s="826"/>
      <c r="C54" s="826"/>
      <c r="D54" s="826"/>
      <c r="E54" s="826"/>
      <c r="F54" s="826"/>
      <c r="G54" s="826"/>
      <c r="H54" s="827"/>
      <c r="I54" s="1020">
        <v>0</v>
      </c>
      <c r="J54" s="862"/>
      <c r="K54" s="210"/>
      <c r="L54" s="315" t="s">
        <v>201</v>
      </c>
      <c r="M54" s="315"/>
      <c r="N54" s="315"/>
      <c r="O54" s="1176">
        <v>0</v>
      </c>
      <c r="P54" s="1176"/>
      <c r="Q54" s="1022"/>
      <c r="R54" s="70"/>
      <c r="S54" s="316" t="s">
        <v>205</v>
      </c>
      <c r="T54" s="70"/>
      <c r="U54" s="70"/>
      <c r="V54" s="70"/>
      <c r="W54" s="580"/>
      <c r="X54" s="580"/>
      <c r="Y54" s="580"/>
      <c r="Z54" s="580"/>
      <c r="AA54" s="580"/>
      <c r="AB54" s="580" t="s">
        <v>282</v>
      </c>
      <c r="AC54" s="580"/>
      <c r="AD54" s="580"/>
      <c r="AE54" s="580"/>
      <c r="AF54" s="313"/>
      <c r="AG54" s="17"/>
    </row>
    <row r="55" spans="1:35" ht="19.5" customHeight="1" thickBot="1">
      <c r="A55" s="1060" t="s">
        <v>191</v>
      </c>
      <c r="B55" s="1061"/>
      <c r="C55" s="1061"/>
      <c r="D55" s="1061"/>
      <c r="E55" s="1061"/>
      <c r="F55" s="1061"/>
      <c r="G55" s="1062"/>
      <c r="H55" s="314"/>
      <c r="I55" s="1191">
        <v>0</v>
      </c>
      <c r="J55" s="1192"/>
      <c r="K55" s="211"/>
      <c r="L55" s="1175" t="s">
        <v>198</v>
      </c>
      <c r="M55" s="1175"/>
      <c r="N55" s="1175"/>
      <c r="O55" s="1177">
        <v>0</v>
      </c>
      <c r="P55" s="1177"/>
      <c r="Q55" s="1023"/>
      <c r="R55" s="70"/>
      <c r="S55" s="1202"/>
      <c r="T55" s="1203"/>
      <c r="U55" s="1203"/>
      <c r="V55" s="1203"/>
      <c r="W55" s="765"/>
      <c r="X55" s="765"/>
      <c r="Y55" s="765"/>
      <c r="Z55" s="765"/>
      <c r="AA55" s="765"/>
      <c r="AB55" s="1203" t="str">
        <f>S3</f>
        <v xml:space="preserve">DEVKRAN SINGH </v>
      </c>
      <c r="AC55" s="1203"/>
      <c r="AD55" s="1203"/>
      <c r="AE55" s="1203"/>
      <c r="AF55" s="317"/>
      <c r="AG55" s="17"/>
    </row>
    <row r="56" spans="1:35" ht="3" customHeight="1" thickBot="1">
      <c r="A56" s="1237"/>
      <c r="B56" s="1237"/>
      <c r="C56" s="1237"/>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3"/>
      <c r="AG56" s="17"/>
    </row>
    <row r="57" spans="1:35" ht="19.350000000000001" customHeight="1">
      <c r="A57" s="1052" t="s">
        <v>239</v>
      </c>
      <c r="B57" s="1053"/>
      <c r="C57" s="1053"/>
      <c r="D57" s="1053"/>
      <c r="E57" s="1053"/>
      <c r="F57" s="1053"/>
      <c r="G57" s="1053"/>
      <c r="H57" s="1053"/>
      <c r="I57" s="1053"/>
      <c r="J57" s="1053"/>
      <c r="K57" s="1053"/>
      <c r="L57" s="1053"/>
      <c r="M57" s="1053"/>
      <c r="N57" s="1053"/>
      <c r="O57" s="1053"/>
      <c r="P57" s="1053"/>
      <c r="Q57" s="1054"/>
      <c r="R57" s="70"/>
      <c r="S57" s="1217" t="s">
        <v>307</v>
      </c>
      <c r="T57" s="1198" t="s">
        <v>243</v>
      </c>
      <c r="U57" s="1199"/>
      <c r="V57" s="1222" t="s">
        <v>244</v>
      </c>
      <c r="W57" s="1222"/>
      <c r="X57" s="1222"/>
      <c r="Y57" s="232" t="s">
        <v>245</v>
      </c>
      <c r="Z57" s="232"/>
      <c r="AA57" s="233"/>
      <c r="AB57" s="1219"/>
      <c r="AC57" s="1219"/>
      <c r="AD57" s="1219"/>
      <c r="AE57" s="1219"/>
      <c r="AF57" s="135"/>
      <c r="AG57" s="17"/>
      <c r="AH57" s="2"/>
      <c r="AI57" s="2"/>
    </row>
    <row r="58" spans="1:35" ht="19.350000000000001" customHeight="1">
      <c r="A58" s="885" t="s">
        <v>385</v>
      </c>
      <c r="B58" s="886"/>
      <c r="C58" s="886"/>
      <c r="D58" s="886"/>
      <c r="E58" s="886"/>
      <c r="F58" s="886"/>
      <c r="G58" s="886"/>
      <c r="H58" s="886"/>
      <c r="I58" s="886"/>
      <c r="J58" s="886"/>
      <c r="K58" s="886"/>
      <c r="L58" s="886"/>
      <c r="M58" s="886"/>
      <c r="N58" s="886"/>
      <c r="O58" s="886"/>
      <c r="P58" s="886"/>
      <c r="Q58" s="887"/>
      <c r="R58" s="70"/>
      <c r="S58" s="1218"/>
      <c r="T58" s="1220">
        <f>T11</f>
        <v>0</v>
      </c>
      <c r="U58" s="1221"/>
      <c r="V58" s="1220">
        <f>V11</f>
        <v>0</v>
      </c>
      <c r="W58" s="1221"/>
      <c r="X58" s="1221"/>
      <c r="Y58" s="1027">
        <f>Y11</f>
        <v>0</v>
      </c>
      <c r="Z58" s="1027"/>
      <c r="AA58" s="1027"/>
      <c r="AB58" s="1213">
        <f>AB11</f>
        <v>0</v>
      </c>
      <c r="AC58" s="1214"/>
      <c r="AD58" s="1215">
        <f>AD11</f>
        <v>724902</v>
      </c>
      <c r="AE58" s="1216"/>
      <c r="AF58" s="234"/>
      <c r="AG58" s="17"/>
      <c r="AH58" s="2"/>
    </row>
    <row r="59" spans="1:35" ht="19.350000000000001" customHeight="1">
      <c r="A59" s="1055" t="s">
        <v>28</v>
      </c>
      <c r="B59" s="1056"/>
      <c r="C59" s="1056"/>
      <c r="D59" s="1056"/>
      <c r="E59" s="1056"/>
      <c r="F59" s="1056"/>
      <c r="G59" s="1056"/>
      <c r="H59" s="1056"/>
      <c r="I59" s="1056"/>
      <c r="J59" s="1056"/>
      <c r="K59" s="1056"/>
      <c r="L59" s="1056"/>
      <c r="M59" s="1056"/>
      <c r="N59" s="1056"/>
      <c r="O59" s="1056"/>
      <c r="P59" s="1056"/>
      <c r="Q59" s="1057"/>
      <c r="R59" s="70"/>
      <c r="S59" s="782" t="s">
        <v>246</v>
      </c>
      <c r="T59" s="783"/>
      <c r="U59" s="783"/>
      <c r="V59" s="783"/>
      <c r="W59" s="783"/>
      <c r="X59" s="783"/>
      <c r="Y59" s="783"/>
      <c r="Z59" s="783"/>
      <c r="AA59" s="783"/>
      <c r="AB59" s="773">
        <f>AB13</f>
        <v>0</v>
      </c>
      <c r="AC59" s="787"/>
      <c r="AD59" s="788">
        <f>AD13</f>
        <v>724902</v>
      </c>
      <c r="AE59" s="788"/>
      <c r="AF59" s="789"/>
      <c r="AG59" s="17"/>
      <c r="AH59" s="2"/>
    </row>
    <row r="60" spans="1:35" ht="19.350000000000001" customHeight="1">
      <c r="A60" s="1025" t="s">
        <v>29</v>
      </c>
      <c r="B60" s="849"/>
      <c r="C60" s="849"/>
      <c r="D60" s="849"/>
      <c r="E60" s="849"/>
      <c r="F60" s="849"/>
      <c r="G60" s="849"/>
      <c r="H60" s="849"/>
      <c r="I60" s="1026"/>
      <c r="J60" s="848" t="s">
        <v>257</v>
      </c>
      <c r="K60" s="849"/>
      <c r="L60" s="849"/>
      <c r="M60" s="849"/>
      <c r="N60" s="849"/>
      <c r="O60" s="849"/>
      <c r="P60" s="849"/>
      <c r="Q60" s="850"/>
      <c r="R60" s="235"/>
      <c r="S60" s="896" t="s">
        <v>249</v>
      </c>
      <c r="T60" s="897"/>
      <c r="U60" s="897"/>
      <c r="V60" s="897"/>
      <c r="W60" s="897"/>
      <c r="X60" s="897"/>
      <c r="Y60" s="897"/>
      <c r="Z60" s="897"/>
      <c r="AA60" s="898"/>
      <c r="AB60" s="773">
        <f>O109-M111+M112-AB58+AB59</f>
        <v>724902</v>
      </c>
      <c r="AC60" s="787"/>
      <c r="AD60" s="1223"/>
      <c r="AE60" s="1224"/>
      <c r="AF60" s="236"/>
      <c r="AG60" s="17"/>
    </row>
    <row r="61" spans="1:35" ht="19.350000000000001" customHeight="1">
      <c r="A61" s="1245" t="str">
        <f>'DDO '!L8</f>
        <v>LADURAM JAT</v>
      </c>
      <c r="B61" s="1246"/>
      <c r="C61" s="1247"/>
      <c r="D61" s="1041" t="str">
        <f>'DDO '!L22</f>
        <v>Govt. PCB Sr. Sec. School, Sujangarh</v>
      </c>
      <c r="E61" s="1042"/>
      <c r="F61" s="1042"/>
      <c r="G61" s="1042"/>
      <c r="H61" s="1042"/>
      <c r="I61" s="1043"/>
      <c r="J61" s="1234" t="str">
        <f>D4</f>
        <v xml:space="preserve">DEVKRAN SINGH </v>
      </c>
      <c r="K61" s="1235"/>
      <c r="L61" s="1235"/>
      <c r="M61" s="1235"/>
      <c r="N61" s="1236"/>
      <c r="O61" s="1058" t="str">
        <f>'Emp.-Detail'!J2</f>
        <v>Govt. PCB Sr. Sec. Sujangarh(Churu)</v>
      </c>
      <c r="P61" s="889"/>
      <c r="Q61" s="1059"/>
      <c r="R61" s="235"/>
      <c r="S61" s="1208" t="s">
        <v>250</v>
      </c>
      <c r="T61" s="1209"/>
      <c r="U61" s="1209"/>
      <c r="V61" s="1209"/>
      <c r="W61" s="1209"/>
      <c r="X61" s="1209"/>
      <c r="Y61" s="1209"/>
      <c r="Z61" s="1209"/>
      <c r="AA61" s="1210"/>
      <c r="AB61" s="813"/>
      <c r="AC61" s="1205"/>
      <c r="AD61" s="813"/>
      <c r="AE61" s="814"/>
      <c r="AF61" s="234"/>
      <c r="AG61" s="17"/>
    </row>
    <row r="62" spans="1:35" ht="19.350000000000001" customHeight="1">
      <c r="A62" s="790" t="s">
        <v>31</v>
      </c>
      <c r="B62" s="791"/>
      <c r="C62" s="792"/>
      <c r="D62" s="793" t="str">
        <f>'DDO '!L11</f>
        <v>ABXPJ6624R</v>
      </c>
      <c r="E62" s="791"/>
      <c r="F62" s="791"/>
      <c r="G62" s="791"/>
      <c r="H62" s="791"/>
      <c r="I62" s="792"/>
      <c r="J62" s="1046" t="s">
        <v>33</v>
      </c>
      <c r="K62" s="1047"/>
      <c r="L62" s="1047"/>
      <c r="M62" s="1047"/>
      <c r="N62" s="1048"/>
      <c r="O62" s="793" t="str">
        <f>D5</f>
        <v>AMCPS4395J</v>
      </c>
      <c r="P62" s="791"/>
      <c r="Q62" s="859"/>
      <c r="R62" s="235"/>
      <c r="S62" s="790" t="s">
        <v>64</v>
      </c>
      <c r="T62" s="791"/>
      <c r="U62" s="791"/>
      <c r="V62" s="791"/>
      <c r="W62" s="791"/>
      <c r="X62" s="792"/>
      <c r="Y62" s="793" t="s">
        <v>88</v>
      </c>
      <c r="Z62" s="791"/>
      <c r="AA62" s="791"/>
      <c r="AB62" s="1206"/>
      <c r="AC62" s="1207"/>
      <c r="AD62" s="813"/>
      <c r="AE62" s="814"/>
      <c r="AF62" s="234"/>
      <c r="AG62" s="17"/>
      <c r="AH62" s="2"/>
      <c r="AI62" s="2"/>
    </row>
    <row r="63" spans="1:35" ht="19.350000000000001" customHeight="1">
      <c r="A63" s="790" t="s">
        <v>32</v>
      </c>
      <c r="B63" s="791"/>
      <c r="C63" s="792"/>
      <c r="D63" s="793" t="str">
        <f>'DDO '!L13</f>
        <v>JPRG04123A</v>
      </c>
      <c r="E63" s="791"/>
      <c r="F63" s="791"/>
      <c r="G63" s="791"/>
      <c r="H63" s="791"/>
      <c r="I63" s="792"/>
      <c r="J63" s="1046" t="s">
        <v>34</v>
      </c>
      <c r="K63" s="1047"/>
      <c r="L63" s="1047"/>
      <c r="M63" s="1047"/>
      <c r="N63" s="1048"/>
      <c r="O63" s="793">
        <f>P5</f>
        <v>9460228621</v>
      </c>
      <c r="P63" s="791"/>
      <c r="Q63" s="859"/>
      <c r="R63" s="235"/>
      <c r="S63" s="790" t="s">
        <v>65</v>
      </c>
      <c r="T63" s="791"/>
      <c r="U63" s="791"/>
      <c r="V63" s="791"/>
      <c r="W63" s="791"/>
      <c r="X63" s="792"/>
      <c r="Y63" s="775">
        <f>AA14</f>
        <v>0</v>
      </c>
      <c r="Z63" s="788"/>
      <c r="AA63" s="788"/>
      <c r="AB63" s="775">
        <f>Y63</f>
        <v>0</v>
      </c>
      <c r="AC63" s="776"/>
      <c r="AD63" s="1206"/>
      <c r="AE63" s="1225"/>
      <c r="AF63" s="234"/>
      <c r="AG63" s="17"/>
    </row>
    <row r="64" spans="1:35" ht="19.350000000000001" customHeight="1" thickBot="1">
      <c r="A64" s="1025" t="s">
        <v>35</v>
      </c>
      <c r="B64" s="849"/>
      <c r="C64" s="849"/>
      <c r="D64" s="849"/>
      <c r="E64" s="849"/>
      <c r="F64" s="849"/>
      <c r="G64" s="849"/>
      <c r="H64" s="849"/>
      <c r="I64" s="1026"/>
      <c r="J64" s="851" t="s">
        <v>240</v>
      </c>
      <c r="K64" s="852"/>
      <c r="L64" s="852"/>
      <c r="M64" s="853"/>
      <c r="N64" s="848" t="s">
        <v>302</v>
      </c>
      <c r="O64" s="849"/>
      <c r="P64" s="849"/>
      <c r="Q64" s="850"/>
      <c r="R64" s="235"/>
      <c r="S64" s="782" t="s">
        <v>290</v>
      </c>
      <c r="T64" s="783"/>
      <c r="U64" s="783"/>
      <c r="V64" s="783"/>
      <c r="W64" s="783"/>
      <c r="X64" s="783"/>
      <c r="Y64" s="783"/>
      <c r="Z64" s="783"/>
      <c r="AA64" s="783"/>
      <c r="AB64" s="783"/>
      <c r="AC64" s="784"/>
      <c r="AD64" s="845">
        <f>AB60+AB63</f>
        <v>724902</v>
      </c>
      <c r="AE64" s="809"/>
      <c r="AF64" s="234"/>
      <c r="AG64" s="17"/>
    </row>
    <row r="65" spans="1:33" ht="19.350000000000001" customHeight="1" thickTop="1" thickBot="1">
      <c r="A65" s="939" t="str">
        <f>'DDO '!B5</f>
        <v>ITO, WD No.-2, Churu,  331001</v>
      </c>
      <c r="B65" s="875"/>
      <c r="C65" s="875"/>
      <c r="D65" s="875"/>
      <c r="E65" s="875"/>
      <c r="F65" s="875"/>
      <c r="G65" s="875"/>
      <c r="H65" s="875"/>
      <c r="I65" s="787"/>
      <c r="J65" s="793" t="str">
        <f>P3</f>
        <v>2017-18</v>
      </c>
      <c r="K65" s="791"/>
      <c r="L65" s="791"/>
      <c r="M65" s="792"/>
      <c r="N65" s="854" t="str">
        <f>'Emp.-Detail'!O13</f>
        <v>01.04.2016 to 31.03.2017</v>
      </c>
      <c r="O65" s="855"/>
      <c r="P65" s="855"/>
      <c r="Q65" s="856"/>
      <c r="R65" s="235"/>
      <c r="S65" s="1211" t="s">
        <v>251</v>
      </c>
      <c r="T65" s="1212"/>
      <c r="U65" s="1212"/>
      <c r="V65" s="1212"/>
      <c r="W65" s="1212"/>
      <c r="X65" s="1212"/>
      <c r="Y65" s="1212"/>
      <c r="Z65" s="1212"/>
      <c r="AA65" s="1212"/>
      <c r="AB65" s="1204"/>
      <c r="AC65" s="1204"/>
      <c r="AD65" s="1204"/>
      <c r="AE65" s="1204"/>
      <c r="AF65" s="234"/>
      <c r="AG65" s="17"/>
    </row>
    <row r="66" spans="1:33" ht="19.350000000000001" customHeight="1" thickTop="1">
      <c r="A66" s="834" t="s">
        <v>303</v>
      </c>
      <c r="B66" s="835"/>
      <c r="C66" s="835"/>
      <c r="D66" s="835"/>
      <c r="E66" s="835"/>
      <c r="F66" s="835"/>
      <c r="G66" s="835"/>
      <c r="H66" s="835"/>
      <c r="I66" s="835"/>
      <c r="J66" s="835"/>
      <c r="K66" s="835"/>
      <c r="L66" s="835"/>
      <c r="M66" s="835"/>
      <c r="N66" s="835"/>
      <c r="O66" s="835"/>
      <c r="P66" s="835"/>
      <c r="Q66" s="836"/>
      <c r="R66" s="235"/>
      <c r="S66" s="237" t="s">
        <v>66</v>
      </c>
      <c r="T66" s="238"/>
      <c r="U66" s="238"/>
      <c r="V66" s="238"/>
      <c r="W66" s="238"/>
      <c r="X66" s="238"/>
      <c r="Y66" s="239"/>
      <c r="Z66" s="240" t="s">
        <v>91</v>
      </c>
      <c r="AA66" s="275"/>
      <c r="AB66" s="241" t="s">
        <v>94</v>
      </c>
      <c r="AC66" s="242"/>
      <c r="AD66" s="301" t="s">
        <v>93</v>
      </c>
      <c r="AE66" s="302"/>
      <c r="AF66" s="234"/>
      <c r="AG66" s="17"/>
    </row>
    <row r="67" spans="1:33" ht="19.350000000000001" customHeight="1">
      <c r="A67" s="1036" t="s">
        <v>241</v>
      </c>
      <c r="B67" s="1037"/>
      <c r="C67" s="1040" t="s">
        <v>36</v>
      </c>
      <c r="D67" s="1040"/>
      <c r="E67" s="1040"/>
      <c r="F67" s="1040"/>
      <c r="G67" s="1040"/>
      <c r="H67" s="1040" t="s">
        <v>342</v>
      </c>
      <c r="I67" s="1040"/>
      <c r="J67" s="841" t="s">
        <v>388</v>
      </c>
      <c r="K67" s="857"/>
      <c r="L67" s="857"/>
      <c r="M67" s="842"/>
      <c r="N67" s="841" t="s">
        <v>37</v>
      </c>
      <c r="O67" s="842"/>
      <c r="P67" s="837" t="s">
        <v>393</v>
      </c>
      <c r="Q67" s="838"/>
      <c r="R67" s="235"/>
      <c r="S67" s="782" t="s">
        <v>67</v>
      </c>
      <c r="T67" s="783"/>
      <c r="U67" s="783"/>
      <c r="V67" s="783"/>
      <c r="W67" s="783"/>
      <c r="X67" s="783"/>
      <c r="Y67" s="784"/>
      <c r="Z67" s="775">
        <f>V17</f>
        <v>79685</v>
      </c>
      <c r="AA67" s="776"/>
      <c r="AB67" s="798"/>
      <c r="AC67" s="799"/>
      <c r="AD67" s="798"/>
      <c r="AE67" s="1173"/>
      <c r="AF67" s="234"/>
      <c r="AG67" s="17"/>
    </row>
    <row r="68" spans="1:33" ht="19.350000000000001" customHeight="1">
      <c r="A68" s="1038"/>
      <c r="B68" s="1039"/>
      <c r="C68" s="1040"/>
      <c r="D68" s="1040"/>
      <c r="E68" s="1040"/>
      <c r="F68" s="1040"/>
      <c r="G68" s="1040"/>
      <c r="H68" s="1040"/>
      <c r="I68" s="1040"/>
      <c r="J68" s="843"/>
      <c r="K68" s="858"/>
      <c r="L68" s="858"/>
      <c r="M68" s="844"/>
      <c r="N68" s="843"/>
      <c r="O68" s="844"/>
      <c r="P68" s="839"/>
      <c r="Q68" s="840"/>
      <c r="R68" s="235"/>
      <c r="S68" s="782" t="s">
        <v>68</v>
      </c>
      <c r="T68" s="783"/>
      <c r="U68" s="783"/>
      <c r="V68" s="783"/>
      <c r="W68" s="783"/>
      <c r="X68" s="783"/>
      <c r="Y68" s="784"/>
      <c r="Z68" s="775">
        <f>V18</f>
        <v>36000</v>
      </c>
      <c r="AA68" s="776"/>
      <c r="AB68" s="800"/>
      <c r="AC68" s="801"/>
      <c r="AD68" s="800"/>
      <c r="AE68" s="411"/>
      <c r="AF68" s="234"/>
      <c r="AG68" s="17"/>
    </row>
    <row r="69" spans="1:33" ht="19.350000000000001" customHeight="1">
      <c r="A69" s="790" t="s">
        <v>38</v>
      </c>
      <c r="B69" s="792"/>
      <c r="C69" s="847" t="str">
        <f>'DDO '!B23</f>
        <v>00</v>
      </c>
      <c r="D69" s="847"/>
      <c r="E69" s="847"/>
      <c r="F69" s="847"/>
      <c r="G69" s="847"/>
      <c r="H69" s="1024" t="str">
        <f>'DDO '!B24</f>
        <v>00/00/0000</v>
      </c>
      <c r="I69" s="847"/>
      <c r="J69" s="775">
        <f>SUM(Q9:Q11)</f>
        <v>197090</v>
      </c>
      <c r="K69" s="788"/>
      <c r="L69" s="788"/>
      <c r="M69" s="776"/>
      <c r="N69" s="775">
        <f>SUM(O25:O27)</f>
        <v>8600</v>
      </c>
      <c r="O69" s="776"/>
      <c r="P69" s="775">
        <f>N69</f>
        <v>8600</v>
      </c>
      <c r="Q69" s="789"/>
      <c r="R69" s="88"/>
      <c r="S69" s="782" t="s">
        <v>69</v>
      </c>
      <c r="T69" s="783"/>
      <c r="U69" s="783"/>
      <c r="V69" s="783"/>
      <c r="W69" s="783"/>
      <c r="X69" s="783"/>
      <c r="Y69" s="784"/>
      <c r="Z69" s="775">
        <f>V19+V21+V22+V25</f>
        <v>22704</v>
      </c>
      <c r="AA69" s="776"/>
      <c r="AB69" s="800"/>
      <c r="AC69" s="801"/>
      <c r="AD69" s="800"/>
      <c r="AE69" s="411"/>
      <c r="AF69" s="234"/>
      <c r="AG69" s="17"/>
    </row>
    <row r="70" spans="1:33" ht="19.350000000000001" customHeight="1">
      <c r="A70" s="790" t="s">
        <v>39</v>
      </c>
      <c r="B70" s="792"/>
      <c r="C70" s="847" t="str">
        <f>'DDO '!F23</f>
        <v>00</v>
      </c>
      <c r="D70" s="847"/>
      <c r="E70" s="847"/>
      <c r="F70" s="847"/>
      <c r="G70" s="847"/>
      <c r="H70" s="1024" t="str">
        <f>'DDO '!F24</f>
        <v>00/00/0000</v>
      </c>
      <c r="I70" s="847"/>
      <c r="J70" s="775">
        <f>SUM(Q12:Q14)</f>
        <v>175299</v>
      </c>
      <c r="K70" s="788"/>
      <c r="L70" s="788"/>
      <c r="M70" s="776"/>
      <c r="N70" s="775">
        <f>SUM(O28:O30)</f>
        <v>9000</v>
      </c>
      <c r="O70" s="776"/>
      <c r="P70" s="775">
        <f>N70</f>
        <v>9000</v>
      </c>
      <c r="Q70" s="789"/>
      <c r="R70" s="235"/>
      <c r="S70" s="782" t="s">
        <v>70</v>
      </c>
      <c r="T70" s="783"/>
      <c r="U70" s="783"/>
      <c r="V70" s="783"/>
      <c r="W70" s="783"/>
      <c r="X70" s="783"/>
      <c r="Y70" s="784"/>
      <c r="Z70" s="775">
        <f>V20</f>
        <v>220</v>
      </c>
      <c r="AA70" s="776"/>
      <c r="AB70" s="800"/>
      <c r="AC70" s="801"/>
      <c r="AD70" s="800"/>
      <c r="AE70" s="411"/>
      <c r="AF70" s="234"/>
      <c r="AG70" s="17"/>
    </row>
    <row r="71" spans="1:33" ht="19.350000000000001" customHeight="1">
      <c r="A71" s="790" t="s">
        <v>40</v>
      </c>
      <c r="B71" s="792"/>
      <c r="C71" s="847" t="str">
        <f>'DDO '!H23</f>
        <v>00</v>
      </c>
      <c r="D71" s="847"/>
      <c r="E71" s="847"/>
      <c r="F71" s="847"/>
      <c r="G71" s="847"/>
      <c r="H71" s="1024" t="str">
        <f>'DDO '!H24</f>
        <v>00/00/0000</v>
      </c>
      <c r="I71" s="847"/>
      <c r="J71" s="775">
        <f>SUM(Q15:Q17)</f>
        <v>175522</v>
      </c>
      <c r="K71" s="788"/>
      <c r="L71" s="788"/>
      <c r="M71" s="776"/>
      <c r="N71" s="775">
        <f>SUM(O31:O33)</f>
        <v>9000</v>
      </c>
      <c r="O71" s="776"/>
      <c r="P71" s="775">
        <f t="shared" ref="P71:P72" si="13">N71</f>
        <v>9000</v>
      </c>
      <c r="Q71" s="789"/>
      <c r="R71" s="235"/>
      <c r="S71" s="782" t="s">
        <v>71</v>
      </c>
      <c r="T71" s="783"/>
      <c r="U71" s="783"/>
      <c r="V71" s="783"/>
      <c r="W71" s="783"/>
      <c r="X71" s="783"/>
      <c r="Y71" s="784"/>
      <c r="Z71" s="775">
        <f>V23</f>
        <v>0</v>
      </c>
      <c r="AA71" s="776"/>
      <c r="AB71" s="800"/>
      <c r="AC71" s="801"/>
      <c r="AD71" s="800"/>
      <c r="AE71" s="411"/>
      <c r="AF71" s="234"/>
      <c r="AG71" s="17"/>
    </row>
    <row r="72" spans="1:33" ht="19.350000000000001" customHeight="1">
      <c r="A72" s="790" t="s">
        <v>41</v>
      </c>
      <c r="B72" s="792"/>
      <c r="C72" s="847" t="str">
        <f>'DDO '!L23</f>
        <v>00</v>
      </c>
      <c r="D72" s="847"/>
      <c r="E72" s="847"/>
      <c r="F72" s="847"/>
      <c r="G72" s="847"/>
      <c r="H72" s="1024" t="str">
        <f>'DDO '!L24</f>
        <v>00/00/0000</v>
      </c>
      <c r="I72" s="847"/>
      <c r="J72" s="775">
        <f>SUM(Q18:Q20)</f>
        <v>176991</v>
      </c>
      <c r="K72" s="788"/>
      <c r="L72" s="788"/>
      <c r="M72" s="776"/>
      <c r="N72" s="775">
        <f>SUM(O34:O36)</f>
        <v>9000</v>
      </c>
      <c r="O72" s="776"/>
      <c r="P72" s="775">
        <f t="shared" si="13"/>
        <v>9000</v>
      </c>
      <c r="Q72" s="789"/>
      <c r="R72" s="235"/>
      <c r="S72" s="782" t="s">
        <v>72</v>
      </c>
      <c r="T72" s="783"/>
      <c r="U72" s="783"/>
      <c r="V72" s="783"/>
      <c r="W72" s="783"/>
      <c r="X72" s="783"/>
      <c r="Y72" s="784"/>
      <c r="Z72" s="775">
        <f>V24</f>
        <v>0</v>
      </c>
      <c r="AA72" s="776"/>
      <c r="AB72" s="800"/>
      <c r="AC72" s="801"/>
      <c r="AD72" s="800"/>
      <c r="AE72" s="411"/>
      <c r="AF72" s="234"/>
      <c r="AG72" s="17"/>
    </row>
    <row r="73" spans="1:33" ht="19.350000000000001" customHeight="1">
      <c r="A73" s="1025" t="s">
        <v>10</v>
      </c>
      <c r="B73" s="849"/>
      <c r="C73" s="849"/>
      <c r="D73" s="849"/>
      <c r="E73" s="849"/>
      <c r="F73" s="849"/>
      <c r="G73" s="849"/>
      <c r="H73" s="849"/>
      <c r="I73" s="1026"/>
      <c r="J73" s="845">
        <f>SUM(J69:J72)</f>
        <v>724902</v>
      </c>
      <c r="K73" s="808"/>
      <c r="L73" s="808"/>
      <c r="M73" s="809"/>
      <c r="N73" s="845">
        <f>SUM(N69:N72)</f>
        <v>35600</v>
      </c>
      <c r="O73" s="809"/>
      <c r="P73" s="845">
        <f>SUM(P69:P72)</f>
        <v>35600</v>
      </c>
      <c r="Q73" s="846"/>
      <c r="R73" s="235"/>
      <c r="S73" s="782" t="s">
        <v>300</v>
      </c>
      <c r="T73" s="783"/>
      <c r="U73" s="783"/>
      <c r="V73" s="783"/>
      <c r="W73" s="783"/>
      <c r="X73" s="783"/>
      <c r="Y73" s="784"/>
      <c r="Z73" s="775">
        <f>AD22</f>
        <v>0</v>
      </c>
      <c r="AA73" s="776"/>
      <c r="AB73" s="800"/>
      <c r="AC73" s="801"/>
      <c r="AD73" s="800"/>
      <c r="AE73" s="411"/>
      <c r="AF73" s="234"/>
      <c r="AG73" s="17"/>
    </row>
    <row r="74" spans="1:33" ht="19.350000000000001" customHeight="1">
      <c r="A74" s="834" t="s">
        <v>384</v>
      </c>
      <c r="B74" s="835"/>
      <c r="C74" s="835"/>
      <c r="D74" s="835"/>
      <c r="E74" s="835"/>
      <c r="F74" s="835"/>
      <c r="G74" s="835"/>
      <c r="H74" s="835"/>
      <c r="I74" s="835"/>
      <c r="J74" s="835"/>
      <c r="K74" s="835"/>
      <c r="L74" s="835"/>
      <c r="M74" s="835"/>
      <c r="N74" s="835"/>
      <c r="O74" s="835"/>
      <c r="P74" s="835"/>
      <c r="Q74" s="836"/>
      <c r="R74" s="235"/>
      <c r="S74" s="782" t="s">
        <v>299</v>
      </c>
      <c r="T74" s="783"/>
      <c r="U74" s="783"/>
      <c r="V74" s="783"/>
      <c r="W74" s="783"/>
      <c r="X74" s="783"/>
      <c r="Y74" s="784"/>
      <c r="Z74" s="775">
        <f>AD17</f>
        <v>0</v>
      </c>
      <c r="AA74" s="776"/>
      <c r="AB74" s="800"/>
      <c r="AC74" s="801"/>
      <c r="AD74" s="800"/>
      <c r="AE74" s="411"/>
      <c r="AF74" s="234"/>
      <c r="AG74" s="17"/>
    </row>
    <row r="75" spans="1:33" ht="19.350000000000001" customHeight="1">
      <c r="A75" s="689" t="s">
        <v>376</v>
      </c>
      <c r="B75" s="687"/>
      <c r="C75" s="687"/>
      <c r="D75" s="255" t="s">
        <v>354</v>
      </c>
      <c r="E75" s="255"/>
      <c r="F75" s="255" t="s">
        <v>355</v>
      </c>
      <c r="G75" s="255" t="s">
        <v>375</v>
      </c>
      <c r="H75" s="255" t="s">
        <v>357</v>
      </c>
      <c r="I75" s="255" t="s">
        <v>374</v>
      </c>
      <c r="J75" s="217" t="s">
        <v>373</v>
      </c>
      <c r="K75" s="217"/>
      <c r="L75" s="217" t="s">
        <v>372</v>
      </c>
      <c r="M75" s="217" t="s">
        <v>371</v>
      </c>
      <c r="N75" s="217" t="s">
        <v>370</v>
      </c>
      <c r="O75" s="217" t="s">
        <v>369</v>
      </c>
      <c r="P75" s="217" t="s">
        <v>368</v>
      </c>
      <c r="Q75" s="218" t="s">
        <v>353</v>
      </c>
      <c r="R75" s="235"/>
      <c r="S75" s="782" t="s">
        <v>73</v>
      </c>
      <c r="T75" s="783"/>
      <c r="U75" s="783"/>
      <c r="V75" s="783"/>
      <c r="W75" s="783"/>
      <c r="X75" s="783"/>
      <c r="Y75" s="784"/>
      <c r="Z75" s="775">
        <f>AD18</f>
        <v>0</v>
      </c>
      <c r="AA75" s="776"/>
      <c r="AB75" s="800"/>
      <c r="AC75" s="801"/>
      <c r="AD75" s="800"/>
      <c r="AE75" s="411"/>
      <c r="AF75" s="234"/>
      <c r="AG75" s="17"/>
    </row>
    <row r="76" spans="1:33" ht="19.350000000000001" customHeight="1">
      <c r="A76" s="1030" t="s">
        <v>377</v>
      </c>
      <c r="B76" s="1031"/>
      <c r="C76" s="1031"/>
      <c r="D76" s="219">
        <f>O25</f>
        <v>2600</v>
      </c>
      <c r="E76" s="219"/>
      <c r="F76" s="219">
        <f>O26</f>
        <v>3000</v>
      </c>
      <c r="G76" s="219">
        <f>O27</f>
        <v>3000</v>
      </c>
      <c r="H76" s="219">
        <f>O28</f>
        <v>3000</v>
      </c>
      <c r="I76" s="219">
        <f>O29</f>
        <v>3000</v>
      </c>
      <c r="J76" s="219">
        <f>O30</f>
        <v>3000</v>
      </c>
      <c r="K76" s="219"/>
      <c r="L76" s="219">
        <f>O31</f>
        <v>3000</v>
      </c>
      <c r="M76" s="219">
        <f>O32</f>
        <v>3000</v>
      </c>
      <c r="N76" s="219">
        <f>O33</f>
        <v>3000</v>
      </c>
      <c r="O76" s="219">
        <f>O34</f>
        <v>3000</v>
      </c>
      <c r="P76" s="219">
        <f>O35</f>
        <v>3000</v>
      </c>
      <c r="Q76" s="220">
        <f>O36</f>
        <v>3000</v>
      </c>
      <c r="R76" s="235"/>
      <c r="S76" s="782" t="s">
        <v>74</v>
      </c>
      <c r="T76" s="783"/>
      <c r="U76" s="783"/>
      <c r="V76" s="783"/>
      <c r="W76" s="783"/>
      <c r="X76" s="783"/>
      <c r="Y76" s="784"/>
      <c r="Z76" s="775">
        <f>AD21</f>
        <v>0</v>
      </c>
      <c r="AA76" s="776"/>
      <c r="AB76" s="800"/>
      <c r="AC76" s="801"/>
      <c r="AD76" s="800"/>
      <c r="AE76" s="411"/>
      <c r="AF76" s="234"/>
      <c r="AG76" s="17"/>
    </row>
    <row r="77" spans="1:33" ht="19.350000000000001" customHeight="1">
      <c r="A77" s="1032" t="s">
        <v>378</v>
      </c>
      <c r="B77" s="1033"/>
      <c r="C77" s="1033"/>
      <c r="D77" s="221">
        <f>'DDO '!H32</f>
        <v>42467</v>
      </c>
      <c r="E77" s="221"/>
      <c r="F77" s="221">
        <f>'DDO '!H33</f>
        <v>42492</v>
      </c>
      <c r="G77" s="221">
        <f>'DDO '!H34</f>
        <v>42522</v>
      </c>
      <c r="H77" s="221" t="str">
        <f>'DDO '!H35</f>
        <v>00/00/0000</v>
      </c>
      <c r="I77" s="221" t="str">
        <f>'DDO '!H36</f>
        <v>00/00/0000</v>
      </c>
      <c r="J77" s="221" t="str">
        <f>'DDO '!H37</f>
        <v>00/00/0000</v>
      </c>
      <c r="K77" s="221"/>
      <c r="L77" s="221" t="str">
        <f>'DDO '!H38</f>
        <v>00/00/0000</v>
      </c>
      <c r="M77" s="221" t="str">
        <f>'DDO '!H39</f>
        <v>00/00/0000</v>
      </c>
      <c r="N77" s="221" t="str">
        <f>'DDO '!H40</f>
        <v>00/00/0000</v>
      </c>
      <c r="O77" s="221" t="str">
        <f>'DDO '!H41</f>
        <v>00/00/0000</v>
      </c>
      <c r="P77" s="221" t="str">
        <f>'DDO '!H42</f>
        <v>00/00/0000</v>
      </c>
      <c r="Q77" s="222" t="str">
        <f>'DDO '!H43</f>
        <v>00/00/0000</v>
      </c>
      <c r="R77" s="235"/>
      <c r="S77" s="782" t="s">
        <v>140</v>
      </c>
      <c r="T77" s="783"/>
      <c r="U77" s="783"/>
      <c r="V77" s="783"/>
      <c r="W77" s="783"/>
      <c r="X77" s="783"/>
      <c r="Y77" s="784"/>
      <c r="Z77" s="775">
        <f>AD23</f>
        <v>0</v>
      </c>
      <c r="AA77" s="776"/>
      <c r="AB77" s="800"/>
      <c r="AC77" s="801"/>
      <c r="AD77" s="800"/>
      <c r="AE77" s="411"/>
      <c r="AF77" s="234"/>
      <c r="AG77" s="17"/>
    </row>
    <row r="78" spans="1:33" ht="19.350000000000001" customHeight="1">
      <c r="A78" s="1034" t="s">
        <v>380</v>
      </c>
      <c r="B78" s="1035"/>
      <c r="C78" s="1035"/>
      <c r="D78" s="223" t="str">
        <f>'DDO '!B32</f>
        <v>00</v>
      </c>
      <c r="E78" s="223"/>
      <c r="F78" s="223" t="str">
        <f>'DDO '!B33</f>
        <v>00</v>
      </c>
      <c r="G78" s="223" t="str">
        <f>'DDO '!B34</f>
        <v>00</v>
      </c>
      <c r="H78" s="223" t="str">
        <f>'DDO '!B35</f>
        <v>00</v>
      </c>
      <c r="I78" s="223" t="str">
        <f>'DDO '!B36</f>
        <v>00</v>
      </c>
      <c r="J78" s="223" t="str">
        <f>'DDO '!B37</f>
        <v>00</v>
      </c>
      <c r="K78" s="223"/>
      <c r="L78" s="223" t="str">
        <f>'DDO '!B38</f>
        <v>00</v>
      </c>
      <c r="M78" s="223" t="str">
        <f>'DDO '!B39</f>
        <v>00</v>
      </c>
      <c r="N78" s="223" t="str">
        <f>'DDO '!B40</f>
        <v>00</v>
      </c>
      <c r="O78" s="223" t="str">
        <f>'DDO '!B41</f>
        <v>00</v>
      </c>
      <c r="P78" s="223" t="str">
        <f>'DDO '!B42</f>
        <v>00</v>
      </c>
      <c r="Q78" s="224" t="str">
        <f>'DDO '!B43</f>
        <v>00</v>
      </c>
      <c r="R78" s="235"/>
      <c r="S78" s="782" t="s">
        <v>75</v>
      </c>
      <c r="T78" s="783"/>
      <c r="U78" s="783"/>
      <c r="V78" s="783"/>
      <c r="W78" s="783"/>
      <c r="X78" s="783"/>
      <c r="Y78" s="784"/>
      <c r="Z78" s="775">
        <f>AD20</f>
        <v>0</v>
      </c>
      <c r="AA78" s="776"/>
      <c r="AB78" s="800"/>
      <c r="AC78" s="801"/>
      <c r="AD78" s="800"/>
      <c r="AE78" s="411"/>
      <c r="AF78" s="234"/>
      <c r="AG78" s="17"/>
    </row>
    <row r="79" spans="1:33" ht="19.350000000000001" customHeight="1">
      <c r="A79" s="1028" t="s">
        <v>382</v>
      </c>
      <c r="B79" s="1029"/>
      <c r="C79" s="1029"/>
      <c r="D79" s="223" t="str">
        <f>'DDO '!F32</f>
        <v>01</v>
      </c>
      <c r="E79" s="223"/>
      <c r="F79" s="223" t="str">
        <f>'DDO '!F33</f>
        <v>13</v>
      </c>
      <c r="G79" s="223" t="str">
        <f>'DDO '!F34</f>
        <v>15</v>
      </c>
      <c r="H79" s="223" t="str">
        <f>'DDO '!F35</f>
        <v>00</v>
      </c>
      <c r="I79" s="223" t="str">
        <f>'DDO '!F36</f>
        <v>00</v>
      </c>
      <c r="J79" s="223" t="str">
        <f>'DDO '!F37</f>
        <v>00</v>
      </c>
      <c r="K79" s="223"/>
      <c r="L79" s="223" t="str">
        <f>'DDO '!F38</f>
        <v>00</v>
      </c>
      <c r="M79" s="223" t="str">
        <f>'DDO '!F39</f>
        <v>00</v>
      </c>
      <c r="N79" s="223" t="str">
        <f>'DDO '!F40</f>
        <v>00</v>
      </c>
      <c r="O79" s="223" t="str">
        <f>'DDO '!F41</f>
        <v>00</v>
      </c>
      <c r="P79" s="223" t="str">
        <f>'DDO '!F42</f>
        <v>00</v>
      </c>
      <c r="Q79" s="224" t="str">
        <f>'DDO '!F43</f>
        <v>00</v>
      </c>
      <c r="R79" s="235"/>
      <c r="S79" s="782" t="s">
        <v>76</v>
      </c>
      <c r="T79" s="783"/>
      <c r="U79" s="783"/>
      <c r="V79" s="783"/>
      <c r="W79" s="783"/>
      <c r="X79" s="783"/>
      <c r="Y79" s="784"/>
      <c r="Z79" s="775">
        <f>AD19</f>
        <v>0</v>
      </c>
      <c r="AA79" s="776"/>
      <c r="AB79" s="800"/>
      <c r="AC79" s="801"/>
      <c r="AD79" s="800"/>
      <c r="AE79" s="411"/>
      <c r="AF79" s="234"/>
      <c r="AG79" s="17"/>
    </row>
    <row r="80" spans="1:33" ht="19.350000000000001" customHeight="1">
      <c r="A80" s="1028" t="s">
        <v>379</v>
      </c>
      <c r="B80" s="1029"/>
      <c r="C80" s="1029"/>
      <c r="D80" s="225" t="str">
        <f>'DDO '!L32</f>
        <v>YES</v>
      </c>
      <c r="E80" s="225"/>
      <c r="F80" s="225" t="str">
        <f>'DDO '!L33</f>
        <v>YES</v>
      </c>
      <c r="G80" s="225" t="str">
        <f>'DDO '!L34</f>
        <v>YES</v>
      </c>
      <c r="H80" s="225" t="str">
        <f>'DDO '!L35</f>
        <v>YES</v>
      </c>
      <c r="I80" s="225" t="str">
        <f>'DDO '!L36</f>
        <v>YES</v>
      </c>
      <c r="J80" s="223" t="str">
        <f>'DDO '!L37</f>
        <v>YES</v>
      </c>
      <c r="K80" s="223"/>
      <c r="L80" s="223" t="str">
        <f>'DDO '!L38</f>
        <v>YES</v>
      </c>
      <c r="M80" s="223" t="str">
        <f>'DDO '!L39</f>
        <v>YES</v>
      </c>
      <c r="N80" s="223" t="str">
        <f>'DDO '!L40</f>
        <v>YES</v>
      </c>
      <c r="O80" s="223" t="str">
        <f>'DDO '!L41</f>
        <v>YES</v>
      </c>
      <c r="P80" s="223" t="str">
        <f>'DDO '!L42</f>
        <v>YES</v>
      </c>
      <c r="Q80" s="224" t="str">
        <f>'DDO '!L43</f>
        <v>YES</v>
      </c>
      <c r="R80" s="235"/>
      <c r="S80" s="896" t="s">
        <v>77</v>
      </c>
      <c r="T80" s="897"/>
      <c r="U80" s="897"/>
      <c r="V80" s="897"/>
      <c r="W80" s="897"/>
      <c r="X80" s="897"/>
      <c r="Y80" s="898"/>
      <c r="Z80" s="775">
        <f>AD24</f>
        <v>0</v>
      </c>
      <c r="AA80" s="776"/>
      <c r="AB80" s="802"/>
      <c r="AC80" s="803"/>
      <c r="AD80" s="802"/>
      <c r="AE80" s="1174"/>
      <c r="AF80" s="234"/>
      <c r="AG80" s="17"/>
    </row>
    <row r="81" spans="1:33" ht="19.350000000000001" customHeight="1">
      <c r="A81" s="834" t="s">
        <v>383</v>
      </c>
      <c r="B81" s="835"/>
      <c r="C81" s="835"/>
      <c r="D81" s="835"/>
      <c r="E81" s="835"/>
      <c r="F81" s="835"/>
      <c r="G81" s="835"/>
      <c r="H81" s="835"/>
      <c r="I81" s="835"/>
      <c r="J81" s="835"/>
      <c r="K81" s="835"/>
      <c r="L81" s="835"/>
      <c r="M81" s="835"/>
      <c r="N81" s="835"/>
      <c r="O81" s="835"/>
      <c r="P81" s="835"/>
      <c r="Q81" s="836"/>
      <c r="R81" s="235"/>
      <c r="S81" s="896" t="s">
        <v>26</v>
      </c>
      <c r="T81" s="897"/>
      <c r="U81" s="897"/>
      <c r="V81" s="897"/>
      <c r="W81" s="897"/>
      <c r="X81" s="897"/>
      <c r="Y81" s="898"/>
      <c r="Z81" s="775">
        <f>AD25</f>
        <v>0</v>
      </c>
      <c r="AA81" s="776"/>
      <c r="AB81" s="773">
        <f>SUM(Z67:Z81)</f>
        <v>138609</v>
      </c>
      <c r="AC81" s="1113"/>
      <c r="AD81" s="773">
        <f>AD26</f>
        <v>138609</v>
      </c>
      <c r="AE81" s="774"/>
      <c r="AF81" s="234"/>
      <c r="AG81" s="17"/>
    </row>
    <row r="82" spans="1:33" ht="19.350000000000001" customHeight="1">
      <c r="A82" s="1063" t="s">
        <v>43</v>
      </c>
      <c r="B82" s="879" t="s">
        <v>44</v>
      </c>
      <c r="C82" s="880"/>
      <c r="D82" s="881"/>
      <c r="E82" s="269"/>
      <c r="F82" s="879" t="s">
        <v>45</v>
      </c>
      <c r="G82" s="880"/>
      <c r="H82" s="880"/>
      <c r="I82" s="881"/>
      <c r="J82" s="911" t="s">
        <v>46</v>
      </c>
      <c r="K82" s="912"/>
      <c r="L82" s="912"/>
      <c r="M82" s="913"/>
      <c r="N82" s="879" t="s">
        <v>47</v>
      </c>
      <c r="O82" s="881"/>
      <c r="P82" s="911" t="s">
        <v>366</v>
      </c>
      <c r="Q82" s="1044"/>
      <c r="R82" s="235"/>
      <c r="S82" s="243" t="s">
        <v>90</v>
      </c>
      <c r="T82" s="244"/>
      <c r="U82" s="244"/>
      <c r="V82" s="244"/>
      <c r="W82" s="244"/>
      <c r="X82" s="245"/>
      <c r="Y82" s="246"/>
      <c r="Z82" s="240" t="s">
        <v>91</v>
      </c>
      <c r="AA82" s="275"/>
      <c r="AB82" s="247" t="s">
        <v>92</v>
      </c>
      <c r="AC82" s="247"/>
      <c r="AD82" s="247" t="s">
        <v>94</v>
      </c>
      <c r="AE82" s="248"/>
      <c r="AF82" s="234"/>
      <c r="AG82" s="17"/>
    </row>
    <row r="83" spans="1:33" ht="19.350000000000001" customHeight="1">
      <c r="A83" s="1064"/>
      <c r="B83" s="882"/>
      <c r="C83" s="883"/>
      <c r="D83" s="884"/>
      <c r="E83" s="270"/>
      <c r="F83" s="882"/>
      <c r="G83" s="883"/>
      <c r="H83" s="883"/>
      <c r="I83" s="884"/>
      <c r="J83" s="914"/>
      <c r="K83" s="915"/>
      <c r="L83" s="915"/>
      <c r="M83" s="916"/>
      <c r="N83" s="882"/>
      <c r="O83" s="884"/>
      <c r="P83" s="914"/>
      <c r="Q83" s="1045"/>
      <c r="R83" s="235"/>
      <c r="S83" s="782" t="s">
        <v>287</v>
      </c>
      <c r="T83" s="783"/>
      <c r="U83" s="783"/>
      <c r="V83" s="783"/>
      <c r="W83" s="783"/>
      <c r="X83" s="783"/>
      <c r="Y83" s="784"/>
      <c r="Z83" s="775">
        <f t="shared" ref="Z83:Z91" si="14">AB29</f>
        <v>0</v>
      </c>
      <c r="AA83" s="776"/>
      <c r="AB83" s="775">
        <f t="shared" ref="AB83:AB91" si="15">AD29</f>
        <v>0</v>
      </c>
      <c r="AC83" s="776"/>
      <c r="AD83" s="798"/>
      <c r="AE83" s="1173"/>
      <c r="AF83" s="234"/>
      <c r="AG83" s="17"/>
    </row>
    <row r="84" spans="1:33" ht="19.350000000000001" customHeight="1">
      <c r="A84" s="226">
        <v>1</v>
      </c>
      <c r="B84" s="775">
        <v>0</v>
      </c>
      <c r="C84" s="788"/>
      <c r="D84" s="776"/>
      <c r="E84" s="257"/>
      <c r="F84" s="793"/>
      <c r="G84" s="791"/>
      <c r="H84" s="791"/>
      <c r="I84" s="792"/>
      <c r="J84" s="810"/>
      <c r="K84" s="811"/>
      <c r="L84" s="811"/>
      <c r="M84" s="812"/>
      <c r="N84" s="793"/>
      <c r="O84" s="792"/>
      <c r="P84" s="793" t="str">
        <f>'Emp.-Detail'!N13</f>
        <v>YES</v>
      </c>
      <c r="Q84" s="859"/>
      <c r="R84" s="235"/>
      <c r="S84" s="782" t="s">
        <v>78</v>
      </c>
      <c r="T84" s="783"/>
      <c r="U84" s="783"/>
      <c r="V84" s="783"/>
      <c r="W84" s="783"/>
      <c r="X84" s="783"/>
      <c r="Y84" s="784"/>
      <c r="Z84" s="775">
        <f t="shared" si="14"/>
        <v>0</v>
      </c>
      <c r="AA84" s="776"/>
      <c r="AB84" s="775">
        <f t="shared" si="15"/>
        <v>0</v>
      </c>
      <c r="AC84" s="776"/>
      <c r="AD84" s="800"/>
      <c r="AE84" s="411"/>
      <c r="AF84" s="234"/>
      <c r="AG84" s="17"/>
    </row>
    <row r="85" spans="1:33" ht="19.350000000000001" customHeight="1">
      <c r="A85" s="226">
        <v>2</v>
      </c>
      <c r="B85" s="775">
        <v>0</v>
      </c>
      <c r="C85" s="788"/>
      <c r="D85" s="776"/>
      <c r="E85" s="257"/>
      <c r="F85" s="793"/>
      <c r="G85" s="791"/>
      <c r="H85" s="791"/>
      <c r="I85" s="792"/>
      <c r="J85" s="810"/>
      <c r="K85" s="811"/>
      <c r="L85" s="811"/>
      <c r="M85" s="812"/>
      <c r="N85" s="793"/>
      <c r="O85" s="792"/>
      <c r="P85" s="793" t="str">
        <f>'Emp.-Detail'!N13</f>
        <v>YES</v>
      </c>
      <c r="Q85" s="859"/>
      <c r="R85" s="235"/>
      <c r="S85" s="782" t="s">
        <v>79</v>
      </c>
      <c r="T85" s="783"/>
      <c r="U85" s="783"/>
      <c r="V85" s="783"/>
      <c r="W85" s="783"/>
      <c r="X85" s="783"/>
      <c r="Y85" s="784"/>
      <c r="Z85" s="775">
        <f t="shared" si="14"/>
        <v>0</v>
      </c>
      <c r="AA85" s="776"/>
      <c r="AB85" s="775">
        <f t="shared" si="15"/>
        <v>0</v>
      </c>
      <c r="AC85" s="776"/>
      <c r="AD85" s="800"/>
      <c r="AE85" s="411"/>
      <c r="AF85" s="234"/>
      <c r="AG85" s="17"/>
    </row>
    <row r="86" spans="1:33" ht="19.350000000000001" customHeight="1">
      <c r="A86" s="226">
        <v>3</v>
      </c>
      <c r="B86" s="775">
        <v>0</v>
      </c>
      <c r="C86" s="788"/>
      <c r="D86" s="776"/>
      <c r="E86" s="257"/>
      <c r="F86" s="793"/>
      <c r="G86" s="791"/>
      <c r="H86" s="791"/>
      <c r="I86" s="792"/>
      <c r="J86" s="810"/>
      <c r="K86" s="811"/>
      <c r="L86" s="811"/>
      <c r="M86" s="812"/>
      <c r="N86" s="793"/>
      <c r="O86" s="792"/>
      <c r="P86" s="793" t="str">
        <f>'Emp.-Detail'!N13</f>
        <v>YES</v>
      </c>
      <c r="Q86" s="859"/>
      <c r="R86" s="235"/>
      <c r="S86" s="782" t="s">
        <v>80</v>
      </c>
      <c r="T86" s="783"/>
      <c r="U86" s="783"/>
      <c r="V86" s="783"/>
      <c r="W86" s="783"/>
      <c r="X86" s="783"/>
      <c r="Y86" s="784"/>
      <c r="Z86" s="775">
        <f t="shared" si="14"/>
        <v>0</v>
      </c>
      <c r="AA86" s="776"/>
      <c r="AB86" s="775">
        <f t="shared" si="15"/>
        <v>0</v>
      </c>
      <c r="AC86" s="776"/>
      <c r="AD86" s="800"/>
      <c r="AE86" s="411"/>
      <c r="AF86" s="234"/>
      <c r="AG86" s="17"/>
    </row>
    <row r="87" spans="1:33" ht="19.350000000000001" customHeight="1">
      <c r="A87" s="226">
        <v>4</v>
      </c>
      <c r="B87" s="775">
        <f>'Emp.-Detail'!J13</f>
        <v>0</v>
      </c>
      <c r="C87" s="788"/>
      <c r="D87" s="776"/>
      <c r="E87" s="257"/>
      <c r="F87" s="1233" t="str">
        <f>'Emp.-Detail'!K13</f>
        <v>0</v>
      </c>
      <c r="G87" s="1243"/>
      <c r="H87" s="1243"/>
      <c r="I87" s="1244"/>
      <c r="J87" s="810" t="str">
        <f>'Emp.-Detail'!L13</f>
        <v>00/00/0000</v>
      </c>
      <c r="K87" s="811"/>
      <c r="L87" s="811"/>
      <c r="M87" s="812"/>
      <c r="N87" s="1233" t="str">
        <f>'Emp.-Detail'!M13</f>
        <v>00</v>
      </c>
      <c r="O87" s="1244"/>
      <c r="P87" s="793" t="str">
        <f>'Emp.-Detail'!N13</f>
        <v>YES</v>
      </c>
      <c r="Q87" s="859"/>
      <c r="R87" s="235"/>
      <c r="S87" s="782" t="s">
        <v>105</v>
      </c>
      <c r="T87" s="783"/>
      <c r="U87" s="783"/>
      <c r="V87" s="783"/>
      <c r="W87" s="783"/>
      <c r="X87" s="783"/>
      <c r="Y87" s="784"/>
      <c r="Z87" s="775">
        <f t="shared" si="14"/>
        <v>0</v>
      </c>
      <c r="AA87" s="776"/>
      <c r="AB87" s="775">
        <f t="shared" si="15"/>
        <v>0</v>
      </c>
      <c r="AC87" s="776"/>
      <c r="AD87" s="800"/>
      <c r="AE87" s="411"/>
      <c r="AF87" s="234"/>
      <c r="AG87" s="17"/>
    </row>
    <row r="88" spans="1:33" ht="19.350000000000001" customHeight="1">
      <c r="A88" s="227"/>
      <c r="B88" s="808">
        <f>SUM(B84:B87)</f>
        <v>0</v>
      </c>
      <c r="C88" s="808"/>
      <c r="D88" s="809"/>
      <c r="E88" s="262"/>
      <c r="F88" s="925" t="s">
        <v>52</v>
      </c>
      <c r="G88" s="926"/>
      <c r="H88" s="926"/>
      <c r="I88" s="926"/>
      <c r="J88" s="926"/>
      <c r="K88" s="926"/>
      <c r="L88" s="926"/>
      <c r="M88" s="926"/>
      <c r="N88" s="926"/>
      <c r="O88" s="926"/>
      <c r="P88" s="926"/>
      <c r="Q88" s="927"/>
      <c r="R88" s="235"/>
      <c r="S88" s="782" t="s">
        <v>141</v>
      </c>
      <c r="T88" s="783"/>
      <c r="U88" s="783"/>
      <c r="V88" s="783"/>
      <c r="W88" s="783"/>
      <c r="X88" s="783"/>
      <c r="Y88" s="784"/>
      <c r="Z88" s="775">
        <f t="shared" si="14"/>
        <v>0</v>
      </c>
      <c r="AA88" s="776"/>
      <c r="AB88" s="775">
        <f t="shared" si="15"/>
        <v>0</v>
      </c>
      <c r="AC88" s="776"/>
      <c r="AD88" s="800"/>
      <c r="AE88" s="411"/>
      <c r="AF88" s="234"/>
      <c r="AG88" s="17"/>
    </row>
    <row r="89" spans="1:33" ht="19.350000000000001" customHeight="1">
      <c r="A89" s="922" t="s">
        <v>48</v>
      </c>
      <c r="B89" s="923"/>
      <c r="C89" s="923"/>
      <c r="D89" s="923"/>
      <c r="E89" s="923"/>
      <c r="F89" s="923"/>
      <c r="G89" s="923"/>
      <c r="H89" s="923"/>
      <c r="I89" s="923"/>
      <c r="J89" s="923"/>
      <c r="K89" s="923"/>
      <c r="L89" s="923"/>
      <c r="M89" s="923"/>
      <c r="N89" s="923"/>
      <c r="O89" s="923"/>
      <c r="P89" s="923"/>
      <c r="Q89" s="924"/>
      <c r="R89" s="235"/>
      <c r="S89" s="782" t="s">
        <v>188</v>
      </c>
      <c r="T89" s="783"/>
      <c r="U89" s="783"/>
      <c r="V89" s="783"/>
      <c r="W89" s="783"/>
      <c r="X89" s="783"/>
      <c r="Y89" s="784"/>
      <c r="Z89" s="775">
        <f t="shared" si="14"/>
        <v>0</v>
      </c>
      <c r="AA89" s="776"/>
      <c r="AB89" s="775">
        <f t="shared" si="15"/>
        <v>0</v>
      </c>
      <c r="AC89" s="776"/>
      <c r="AD89" s="800"/>
      <c r="AE89" s="411"/>
      <c r="AF89" s="234"/>
      <c r="AG89" s="17"/>
    </row>
    <row r="90" spans="1:33" ht="19.350000000000001" customHeight="1">
      <c r="A90" s="228" t="s">
        <v>387</v>
      </c>
      <c r="B90" s="940" t="str">
        <f>'DDO '!L8</f>
        <v>LADURAM JAT</v>
      </c>
      <c r="C90" s="940"/>
      <c r="D90" s="940"/>
      <c r="E90" s="229"/>
      <c r="F90" s="818" t="s">
        <v>304</v>
      </c>
      <c r="G90" s="818"/>
      <c r="H90" s="818"/>
      <c r="I90" s="818"/>
      <c r="J90" s="804" t="str">
        <f>'DDO '!L9</f>
        <v>SH. DHANA RAM</v>
      </c>
      <c r="K90" s="804"/>
      <c r="L90" s="804"/>
      <c r="M90" s="804"/>
      <c r="N90" s="804"/>
      <c r="O90" s="818" t="s">
        <v>50</v>
      </c>
      <c r="P90" s="818"/>
      <c r="Q90" s="819"/>
      <c r="R90" s="235"/>
      <c r="S90" s="782" t="s">
        <v>288</v>
      </c>
      <c r="T90" s="783"/>
      <c r="U90" s="783"/>
      <c r="V90" s="783"/>
      <c r="W90" s="783"/>
      <c r="X90" s="783"/>
      <c r="Y90" s="784"/>
      <c r="Z90" s="775">
        <f t="shared" si="14"/>
        <v>0</v>
      </c>
      <c r="AA90" s="776"/>
      <c r="AB90" s="775">
        <f t="shared" si="15"/>
        <v>0</v>
      </c>
      <c r="AC90" s="776"/>
      <c r="AD90" s="800"/>
      <c r="AE90" s="411"/>
      <c r="AF90" s="234"/>
      <c r="AG90" s="17"/>
    </row>
    <row r="91" spans="1:33" ht="19.350000000000001" customHeight="1">
      <c r="A91" s="87"/>
      <c r="B91" s="940" t="str">
        <f>'DDO '!L10</f>
        <v>PRINCIPAL</v>
      </c>
      <c r="C91" s="940"/>
      <c r="D91" s="818" t="s">
        <v>51</v>
      </c>
      <c r="E91" s="818"/>
      <c r="F91" s="818"/>
      <c r="G91" s="818"/>
      <c r="H91" s="818"/>
      <c r="I91" s="818"/>
      <c r="J91" s="818"/>
      <c r="K91" s="261"/>
      <c r="L91" s="928">
        <f>P73+B88</f>
        <v>35600</v>
      </c>
      <c r="M91" s="928"/>
      <c r="N91" s="928"/>
      <c r="O91" s="795" t="s">
        <v>283</v>
      </c>
      <c r="P91" s="795"/>
      <c r="Q91" s="873"/>
      <c r="R91" s="235"/>
      <c r="S91" s="782" t="s">
        <v>289</v>
      </c>
      <c r="T91" s="783"/>
      <c r="U91" s="783"/>
      <c r="V91" s="783"/>
      <c r="W91" s="783"/>
      <c r="X91" s="783"/>
      <c r="Y91" s="784"/>
      <c r="Z91" s="775">
        <f t="shared" si="14"/>
        <v>0</v>
      </c>
      <c r="AA91" s="776"/>
      <c r="AB91" s="775">
        <f t="shared" si="15"/>
        <v>0</v>
      </c>
      <c r="AC91" s="776"/>
      <c r="AD91" s="802"/>
      <c r="AE91" s="1174"/>
      <c r="AF91" s="234"/>
      <c r="AG91" s="17"/>
    </row>
    <row r="92" spans="1:33" ht="19.350000000000001" customHeight="1">
      <c r="A92" s="87"/>
      <c r="B92" s="917" t="str">
        <f>"( Rs. "&amp;LOOKUP(IF(INT(RIGHT(L91,7)/100000)&gt;19,INT(RIGHT(L91,7)/1000000),IF(INT(RIGHT(L91,7)/100000)&gt;=10,INT(RIGHT(L91,7)/100000),0)),{0,1,2,3,4,5,6,7,8,9,10,11,12,13,14,15,16,17,18,19},{""," TEN "," TWENTY "," THIRTY "," FOURTY "," FIFTY "," SIXTY "," SEVENTY "," EIGHTY "," NINETY "," TEN "," ELEVEN "," TWELVE "," THIRTEEN "," FOURTEEN "," FIFTEEN "," SIXTEEN"," SEVENTEEN"," EIGHTEEN "," NINETEEN "})&amp;IF((IF(INT(RIGHT(L91,7)/100000)&gt;19,INT(RIGHT(L91,7)/1000000),IF(INT(RIGHT(L91,7)/100000)&gt;=10,INT(RIGHT(L91,7)/100000),0))+IF(INT(RIGHT(L91,7)/100000)&gt;19,INT(RIGHT(L91,6)/100000),IF(INT(RIGHT(L91,7)/100000)&gt;10,0,INT(RIGHT(L91,6)/100000))))&gt;0,LOOKUP(IF(INT(RIGHT(L91,7)/100000)&gt;19,INT(RIGHT(L91,6)/100000),IF(INT(RIGHT(L91,7)/100000)&gt;10,0,INT(RIGHT(L91,6)/100000))),{0,1,2,3,4,5,6,7,8,9,10,11,12,13,14,15,16,17,18,19},{""," ONE "," TWO "," THREE "," FOUR "," FIVE "," SIX "," SEVEN "," EIGHT "," NINE "," TEN "," ELEVEN "," TWELVE "," THIRTEEN "," FOURTEEN "," FIFTEEN "," SIXTEEN"," SEVENTEEN"," EIGHTEEN "," NINETEEN "})&amp;" Lac. "," ")&amp;LOOKUP(IF(INT(RIGHT(L91,5)/1000)&gt;19,INT(RIGHT(L91,5)/10000),IF(INT(RIGHT(L91,5)/1000)&gt;=10,INT(RIGHT(L91,5)/1000),0)),{0,1,2,3,4,5,6,7,8,9,10,11,12,13,14,15,16,17,18,19},{""," TEN "," TWENTY "," THIRTY "," FOURTY "," FIFTY "," SIXTY "," SEVENTY "," EIGHTY "," NINETY "," TEN "," ELEVEN "," TWELVE "," THIRTEEN "," FOURTEEN "," FIFTEEN "," SIXTEEN"," SEVENTEEN"," EIGHTEEN "," NINETEEN "})&amp;IF((IF(INT(RIGHT(L91,5)/1000)&gt;19,INT(RIGHT(L91,4)/1000),IF(INT(RIGHT(L91,5)/1000)&gt;10,0,INT(RIGHT(L91,4)/1000)))+IF(INT(RIGHT(L91,5)/1000)&gt;19,INT(RIGHT(L91,5)/10000),IF(INT(RIGHT(L91,5)/1000)&gt;=10,INT(RIGHT(L91,5)/1000),0)))&gt;0,LOOKUP(IF(INT(RIGHT(L91,5)/1000)&gt;19,INT(RIGHT(L91,4)/1000),IF(INT(RIGHT(L91,5)/1000)&gt;10,0,INT(RIGHT(L91,4)/1000))),{0,1,2,3,4,5,6,7,8,9,10,11,12,13,14,15,16,17,18,19},{""," ONE "," TWO "," THREE "," FOUR "," FIVE "," SIX "," SEVEN "," EIGHT "," NINE "," TEN "," ELEVEN "," TWELVE "," THIRTEEN "," FOURTEEN "," FIFTEEN "," SIXTEEN"," SEVENTEEN"," EIGHTEEN "," NINETEEN "})&amp;" Thousand "," ")&amp;IF((INT((RIGHT(L91,3))/100))&gt;0,LOOKUP(INT((RIGHT(L91,3))/100),{0,1,2,3,4,5,6,7,8,9,10,11,12,13,14,15,16,17,18,19},{""," ONE "," TWO "," THREE "," FOUR "," FIVE "," SIX "," SEVEN "," EIGHT "," NINE "," TEN "," ELEVEN "," TWELVE "," THIRTEEN "," FOURTEEN "," FIFTEEN "," SIXTEEN"," SEVENTEEN"," EIGHTEEN "," NINETEEN "})&amp;" Hundred "," ")&amp;LOOKUP(IF(INT(RIGHT(L91,2))&gt;19,INT(RIGHT(L91,2)/10),IF(INT(RIGHT(L91,2))&gt;=10,INT(RIGHT(L91,2)),0)),{0,1,2,3,4,5,6,7,8,9,10,11,12,13,14,15,16,17,18,19},{""," TEN "," TWENTY "," THIRTY "," FOURTY "," FIFTY "," SIXTY "," SEVENTY "," EIGHTY "," NINETY "," TEN "," ELEVEN "," TWELVE "," THIRTEEN "," FOURTEEN "," FIFTEEN "," SIXTEEN"," SEVENTEEN"," EIGHTEEN "," NINETEEN "})&amp;LOOKUP(IF(INT(RIGHT(L91,2))&lt;10,INT(RIGHT(L91,1)),IF(INT(RIGHT(L91,2))&lt;20,0,INT(RIGHT(L91,1)))),{0,1,2,3,4,5,6,7,8,9,10,11,12,13,14,15,16,17,18,19},{""," ONE "," TWO "," THREE "," FOUR "," FIVE "," SIX "," SEVEN "," EIGHT "," NINE "," TEN "," ELEVEN "," TWELVE "," THIRTEEN "," FOURTEEN "," FIFTEEN "," SIXTEEN"," SEVENTEEN"," EIGHTEEN "," NINETEEN "})&amp;" Only)"</f>
        <v>( Rs.   THIRTY  FIVE  Thousand  SIX  Hundred  Only)</v>
      </c>
      <c r="C92" s="917"/>
      <c r="D92" s="917"/>
      <c r="E92" s="917"/>
      <c r="F92" s="917"/>
      <c r="G92" s="917"/>
      <c r="H92" s="917"/>
      <c r="I92" s="917"/>
      <c r="J92" s="917"/>
      <c r="K92" s="264"/>
      <c r="L92" s="920" t="s">
        <v>242</v>
      </c>
      <c r="M92" s="920"/>
      <c r="N92" s="920"/>
      <c r="O92" s="920"/>
      <c r="P92" s="920"/>
      <c r="Q92" s="921"/>
      <c r="R92" s="235"/>
      <c r="S92" s="1226" t="s">
        <v>308</v>
      </c>
      <c r="T92" s="1227"/>
      <c r="U92" s="1227"/>
      <c r="V92" s="1227"/>
      <c r="W92" s="1227"/>
      <c r="X92" s="1227"/>
      <c r="Y92" s="1227"/>
      <c r="Z92" s="1227"/>
      <c r="AA92" s="1227"/>
      <c r="AB92" s="1227"/>
      <c r="AC92" s="1228"/>
      <c r="AD92" s="775">
        <f>AD38</f>
        <v>0</v>
      </c>
      <c r="AE92" s="776"/>
      <c r="AF92" s="234"/>
      <c r="AG92" s="17"/>
    </row>
    <row r="93" spans="1:33" ht="19.350000000000001" customHeight="1">
      <c r="A93" s="87"/>
      <c r="B93" s="918" t="s">
        <v>309</v>
      </c>
      <c r="C93" s="918"/>
      <c r="D93" s="918"/>
      <c r="E93" s="918"/>
      <c r="F93" s="918"/>
      <c r="G93" s="918"/>
      <c r="H93" s="918"/>
      <c r="I93" s="918"/>
      <c r="J93" s="918"/>
      <c r="K93" s="918"/>
      <c r="L93" s="918"/>
      <c r="M93" s="918"/>
      <c r="N93" s="918"/>
      <c r="O93" s="918"/>
      <c r="P93" s="918"/>
      <c r="Q93" s="919"/>
      <c r="R93" s="235"/>
      <c r="S93" s="896" t="s">
        <v>252</v>
      </c>
      <c r="T93" s="897"/>
      <c r="U93" s="897"/>
      <c r="V93" s="897"/>
      <c r="W93" s="897"/>
      <c r="X93" s="897"/>
      <c r="Y93" s="897"/>
      <c r="Z93" s="897"/>
      <c r="AA93" s="897"/>
      <c r="AB93" s="897"/>
      <c r="AC93" s="898"/>
      <c r="AD93" s="775">
        <f>AD81+AD92</f>
        <v>138609</v>
      </c>
      <c r="AE93" s="789"/>
      <c r="AF93" s="234"/>
      <c r="AG93" s="17"/>
    </row>
    <row r="94" spans="1:33" ht="19.350000000000001" customHeight="1">
      <c r="A94" s="87"/>
      <c r="B94" s="918"/>
      <c r="C94" s="918"/>
      <c r="D94" s="918"/>
      <c r="E94" s="918"/>
      <c r="F94" s="918"/>
      <c r="G94" s="918"/>
      <c r="H94" s="918"/>
      <c r="I94" s="918"/>
      <c r="J94" s="918"/>
      <c r="K94" s="918"/>
      <c r="L94" s="918"/>
      <c r="M94" s="918"/>
      <c r="N94" s="918"/>
      <c r="O94" s="918"/>
      <c r="P94" s="918"/>
      <c r="Q94" s="919"/>
      <c r="R94" s="235"/>
      <c r="S94" s="834"/>
      <c r="T94" s="835"/>
      <c r="U94" s="835"/>
      <c r="V94" s="835"/>
      <c r="W94" s="835"/>
      <c r="X94" s="835"/>
      <c r="Y94" s="835"/>
      <c r="Z94" s="835"/>
      <c r="AA94" s="835"/>
      <c r="AB94" s="835"/>
      <c r="AC94" s="835"/>
      <c r="AD94" s="835"/>
      <c r="AE94" s="836"/>
      <c r="AF94" s="234"/>
      <c r="AG94" s="17"/>
    </row>
    <row r="95" spans="1:33" ht="19.350000000000001" customHeight="1">
      <c r="A95" s="782" t="s">
        <v>126</v>
      </c>
      <c r="B95" s="784"/>
      <c r="C95" s="1142" t="str">
        <f>'DDO '!L18</f>
        <v>Sujangarh</v>
      </c>
      <c r="D95" s="903"/>
      <c r="E95" s="903"/>
      <c r="F95" s="903"/>
      <c r="G95" s="1143"/>
      <c r="H95" s="813"/>
      <c r="I95" s="814"/>
      <c r="J95" s="814"/>
      <c r="K95" s="814"/>
      <c r="L95" s="814"/>
      <c r="M95" s="814"/>
      <c r="N95" s="814"/>
      <c r="O95" s="814"/>
      <c r="P95" s="814"/>
      <c r="Q95" s="815"/>
      <c r="R95" s="235"/>
      <c r="S95" s="782" t="s">
        <v>293</v>
      </c>
      <c r="T95" s="783"/>
      <c r="U95" s="783"/>
      <c r="V95" s="783"/>
      <c r="W95" s="783"/>
      <c r="X95" s="783"/>
      <c r="Y95" s="783"/>
      <c r="Z95" s="783"/>
      <c r="AA95" s="783"/>
      <c r="AB95" s="783"/>
      <c r="AC95" s="784"/>
      <c r="AD95" s="775">
        <f>AD40</f>
        <v>586290</v>
      </c>
      <c r="AE95" s="789"/>
      <c r="AF95" s="234"/>
      <c r="AG95" s="17"/>
    </row>
    <row r="96" spans="1:33" ht="19.350000000000001" customHeight="1">
      <c r="A96" s="782" t="s">
        <v>215</v>
      </c>
      <c r="B96" s="784"/>
      <c r="C96" s="1164">
        <f>'DDO '!M3</f>
        <v>42855</v>
      </c>
      <c r="D96" s="1165"/>
      <c r="E96" s="1165"/>
      <c r="F96" s="1165"/>
      <c r="G96" s="1166"/>
      <c r="H96" s="1170"/>
      <c r="I96" s="1171"/>
      <c r="J96" s="1171"/>
      <c r="K96" s="273"/>
      <c r="L96" s="930" t="s">
        <v>53</v>
      </c>
      <c r="M96" s="930"/>
      <c r="N96" s="930"/>
      <c r="O96" s="930"/>
      <c r="P96" s="930"/>
      <c r="Q96" s="931"/>
      <c r="R96" s="235"/>
      <c r="S96" s="782" t="s">
        <v>253</v>
      </c>
      <c r="T96" s="783"/>
      <c r="U96" s="783"/>
      <c r="V96" s="783"/>
      <c r="W96" s="783"/>
      <c r="X96" s="783"/>
      <c r="Y96" s="783"/>
      <c r="Z96" s="783"/>
      <c r="AA96" s="783"/>
      <c r="AB96" s="783"/>
      <c r="AC96" s="784"/>
      <c r="AD96" s="775">
        <f>AD42</f>
        <v>42258</v>
      </c>
      <c r="AE96" s="789"/>
      <c r="AF96" s="234"/>
      <c r="AG96" s="17"/>
    </row>
    <row r="97" spans="1:33" ht="19.350000000000001" customHeight="1">
      <c r="A97" s="816"/>
      <c r="B97" s="817"/>
      <c r="C97" s="817"/>
      <c r="D97" s="817"/>
      <c r="E97" s="817"/>
      <c r="F97" s="817"/>
      <c r="G97" s="817"/>
      <c r="H97" s="817"/>
      <c r="I97" s="817"/>
      <c r="J97" s="803"/>
      <c r="K97" s="263"/>
      <c r="L97" s="798" t="s">
        <v>54</v>
      </c>
      <c r="M97" s="929"/>
      <c r="N97" s="903" t="str">
        <f>'DDO '!L8</f>
        <v>LADURAM JAT</v>
      </c>
      <c r="O97" s="903"/>
      <c r="P97" s="903"/>
      <c r="Q97" s="904"/>
      <c r="R97" s="235"/>
      <c r="S97" s="782" t="s">
        <v>254</v>
      </c>
      <c r="T97" s="783"/>
      <c r="U97" s="783"/>
      <c r="V97" s="783"/>
      <c r="W97" s="783"/>
      <c r="X97" s="783"/>
      <c r="Y97" s="783"/>
      <c r="Z97" s="783"/>
      <c r="AA97" s="783"/>
      <c r="AB97" s="783"/>
      <c r="AC97" s="784"/>
      <c r="AD97" s="775">
        <f>AD43</f>
        <v>1268</v>
      </c>
      <c r="AE97" s="789"/>
      <c r="AF97" s="234"/>
      <c r="AG97" s="17"/>
    </row>
    <row r="98" spans="1:33" ht="19.350000000000001" customHeight="1">
      <c r="A98" s="932" t="s">
        <v>55</v>
      </c>
      <c r="B98" s="933"/>
      <c r="C98" s="933"/>
      <c r="D98" s="933"/>
      <c r="E98" s="933"/>
      <c r="F98" s="933"/>
      <c r="G98" s="933"/>
      <c r="H98" s="933"/>
      <c r="I98" s="933"/>
      <c r="J98" s="933"/>
      <c r="K98" s="933"/>
      <c r="L98" s="933"/>
      <c r="M98" s="933"/>
      <c r="N98" s="933"/>
      <c r="O98" s="933"/>
      <c r="P98" s="933"/>
      <c r="Q98" s="934"/>
      <c r="R98" s="235"/>
      <c r="S98" s="782" t="s">
        <v>291</v>
      </c>
      <c r="T98" s="783"/>
      <c r="U98" s="783"/>
      <c r="V98" s="783"/>
      <c r="W98" s="783"/>
      <c r="X98" s="783"/>
      <c r="Y98" s="783"/>
      <c r="Z98" s="783"/>
      <c r="AA98" s="783"/>
      <c r="AB98" s="783"/>
      <c r="AC98" s="784"/>
      <c r="AD98" s="775">
        <f>AD46</f>
        <v>43526</v>
      </c>
      <c r="AE98" s="789"/>
      <c r="AF98" s="234"/>
      <c r="AG98" s="17"/>
    </row>
    <row r="99" spans="1:33" ht="19.350000000000001" customHeight="1">
      <c r="A99" s="935" t="s">
        <v>56</v>
      </c>
      <c r="B99" s="903"/>
      <c r="C99" s="903"/>
      <c r="D99" s="903"/>
      <c r="E99" s="903"/>
      <c r="F99" s="903"/>
      <c r="G99" s="903"/>
      <c r="H99" s="903"/>
      <c r="I99" s="903"/>
      <c r="J99" s="903"/>
      <c r="K99" s="903"/>
      <c r="L99" s="903"/>
      <c r="M99" s="903"/>
      <c r="N99" s="903"/>
      <c r="O99" s="903"/>
      <c r="P99" s="903"/>
      <c r="Q99" s="904"/>
      <c r="R99" s="235"/>
      <c r="S99" s="782" t="s">
        <v>255</v>
      </c>
      <c r="T99" s="783"/>
      <c r="U99" s="783"/>
      <c r="V99" s="783"/>
      <c r="W99" s="783"/>
      <c r="X99" s="783"/>
      <c r="Y99" s="783"/>
      <c r="Z99" s="783"/>
      <c r="AA99" s="783"/>
      <c r="AB99" s="783"/>
      <c r="AC99" s="784"/>
      <c r="AD99" s="775">
        <f>AD45</f>
        <v>0</v>
      </c>
      <c r="AE99" s="789"/>
      <c r="AF99" s="234"/>
      <c r="AG99" s="17"/>
    </row>
    <row r="100" spans="1:33" ht="19.350000000000001" customHeight="1">
      <c r="A100" s="1128" t="s">
        <v>57</v>
      </c>
      <c r="B100" s="1129"/>
      <c r="C100" s="1129"/>
      <c r="D100" s="1129"/>
      <c r="E100" s="1129"/>
      <c r="F100" s="1129"/>
      <c r="G100" s="1129"/>
      <c r="H100" s="1129"/>
      <c r="I100" s="1129"/>
      <c r="J100" s="1129"/>
      <c r="K100" s="1129"/>
      <c r="L100" s="1130"/>
      <c r="M100" s="1126"/>
      <c r="N100" s="1127"/>
      <c r="O100" s="798"/>
      <c r="P100" s="799"/>
      <c r="Q100" s="805"/>
      <c r="R100" s="235"/>
      <c r="S100" s="782" t="s">
        <v>292</v>
      </c>
      <c r="T100" s="783"/>
      <c r="U100" s="783"/>
      <c r="V100" s="783"/>
      <c r="W100" s="783"/>
      <c r="X100" s="783"/>
      <c r="Y100" s="783"/>
      <c r="Z100" s="783"/>
      <c r="AA100" s="783"/>
      <c r="AB100" s="783"/>
      <c r="AC100" s="784"/>
      <c r="AD100" s="775">
        <f>AD46</f>
        <v>43526</v>
      </c>
      <c r="AE100" s="789"/>
      <c r="AF100" s="234"/>
      <c r="AG100" s="17"/>
    </row>
    <row r="101" spans="1:33" ht="19.350000000000001" customHeight="1">
      <c r="A101" s="820" t="s">
        <v>58</v>
      </c>
      <c r="B101" s="821"/>
      <c r="C101" s="821"/>
      <c r="D101" s="821"/>
      <c r="E101" s="821"/>
      <c r="F101" s="821"/>
      <c r="G101" s="821"/>
      <c r="H101" s="821"/>
      <c r="I101" s="821"/>
      <c r="J101" s="821"/>
      <c r="K101" s="821"/>
      <c r="L101" s="822"/>
      <c r="M101" s="902">
        <f>AD5</f>
        <v>724902</v>
      </c>
      <c r="N101" s="902"/>
      <c r="O101" s="800"/>
      <c r="P101" s="801"/>
      <c r="Q101" s="806"/>
      <c r="R101" s="235"/>
      <c r="S101" s="777" t="s">
        <v>48</v>
      </c>
      <c r="T101" s="778"/>
      <c r="U101" s="778"/>
      <c r="V101" s="778"/>
      <c r="W101" s="778"/>
      <c r="X101" s="778"/>
      <c r="Y101" s="778"/>
      <c r="Z101" s="778"/>
      <c r="AA101" s="778"/>
      <c r="AB101" s="778"/>
      <c r="AC101" s="778"/>
      <c r="AD101" s="778"/>
      <c r="AE101" s="779"/>
      <c r="AF101" s="234"/>
      <c r="AG101" s="17"/>
    </row>
    <row r="102" spans="1:33" ht="19.350000000000001" customHeight="1">
      <c r="A102" s="820" t="s">
        <v>305</v>
      </c>
      <c r="B102" s="821"/>
      <c r="C102" s="821"/>
      <c r="D102" s="821"/>
      <c r="E102" s="821"/>
      <c r="F102" s="821"/>
      <c r="G102" s="821"/>
      <c r="H102" s="821"/>
      <c r="I102" s="821"/>
      <c r="J102" s="821"/>
      <c r="K102" s="821"/>
      <c r="L102" s="822"/>
      <c r="M102" s="775">
        <v>0</v>
      </c>
      <c r="N102" s="776"/>
      <c r="O102" s="800"/>
      <c r="P102" s="801"/>
      <c r="Q102" s="806"/>
      <c r="R102" s="235"/>
      <c r="S102" s="1131"/>
      <c r="T102" s="580"/>
      <c r="U102" s="580"/>
      <c r="V102" s="580"/>
      <c r="W102" s="580"/>
      <c r="X102" s="580"/>
      <c r="Y102" s="580"/>
      <c r="Z102" s="580"/>
      <c r="AA102" s="580"/>
      <c r="AB102" s="580"/>
      <c r="AC102" s="580"/>
      <c r="AD102" s="580"/>
      <c r="AE102" s="1132"/>
      <c r="AF102" s="234"/>
      <c r="AG102" s="17"/>
    </row>
    <row r="103" spans="1:33" ht="19.350000000000001" customHeight="1">
      <c r="A103" s="820" t="s">
        <v>59</v>
      </c>
      <c r="B103" s="821"/>
      <c r="C103" s="821"/>
      <c r="D103" s="821"/>
      <c r="E103" s="821"/>
      <c r="F103" s="821"/>
      <c r="G103" s="821"/>
      <c r="H103" s="821"/>
      <c r="I103" s="821"/>
      <c r="J103" s="821"/>
      <c r="K103" s="821"/>
      <c r="L103" s="822"/>
      <c r="M103" s="775">
        <v>0</v>
      </c>
      <c r="N103" s="776"/>
      <c r="O103" s="802"/>
      <c r="P103" s="803"/>
      <c r="Q103" s="807"/>
      <c r="R103" s="235"/>
      <c r="S103" s="85" t="s">
        <v>387</v>
      </c>
      <c r="T103" s="794" t="str">
        <f>'DDO '!L8</f>
        <v>LADURAM JAT</v>
      </c>
      <c r="U103" s="794"/>
      <c r="V103" s="794"/>
      <c r="W103" s="795" t="s">
        <v>49</v>
      </c>
      <c r="X103" s="795"/>
      <c r="Y103" s="795"/>
      <c r="Z103" s="794" t="str">
        <f>'DDO '!L9</f>
        <v>SH. DHANA RAM</v>
      </c>
      <c r="AA103" s="794"/>
      <c r="AB103" s="794"/>
      <c r="AC103" s="795" t="s">
        <v>50</v>
      </c>
      <c r="AD103" s="795"/>
      <c r="AE103" s="873"/>
      <c r="AF103" s="234"/>
      <c r="AG103" s="17"/>
    </row>
    <row r="104" spans="1:33" ht="19.350000000000001" customHeight="1">
      <c r="A104" s="1093" t="s">
        <v>248</v>
      </c>
      <c r="B104" s="1094"/>
      <c r="C104" s="1094"/>
      <c r="D104" s="1094"/>
      <c r="E104" s="1094"/>
      <c r="F104" s="1094"/>
      <c r="G104" s="1094"/>
      <c r="H104" s="1094"/>
      <c r="I104" s="1094"/>
      <c r="J104" s="1094"/>
      <c r="K104" s="1094"/>
      <c r="L104" s="1095"/>
      <c r="M104" s="905"/>
      <c r="N104" s="906"/>
      <c r="O104" s="775">
        <f>SUM(M101:M103)</f>
        <v>724902</v>
      </c>
      <c r="P104" s="776"/>
      <c r="Q104" s="258">
        <f>O104</f>
        <v>724902</v>
      </c>
      <c r="R104" s="235"/>
      <c r="S104" s="254"/>
      <c r="T104" s="229" t="str">
        <f>'DDO '!L10</f>
        <v>PRINCIPAL</v>
      </c>
      <c r="U104" s="229"/>
      <c r="V104" s="780" t="s">
        <v>51</v>
      </c>
      <c r="W104" s="780"/>
      <c r="X104" s="780"/>
      <c r="Y104" s="780"/>
      <c r="Z104" s="770">
        <f>AD100</f>
        <v>43526</v>
      </c>
      <c r="AA104" s="770"/>
      <c r="AB104" s="770"/>
      <c r="AC104" s="785" t="s">
        <v>258</v>
      </c>
      <c r="AD104" s="785"/>
      <c r="AE104" s="786"/>
      <c r="AF104" s="234"/>
      <c r="AG104" s="17"/>
    </row>
    <row r="105" spans="1:33" ht="19.350000000000001" customHeight="1">
      <c r="A105" s="936" t="s">
        <v>138</v>
      </c>
      <c r="B105" s="937"/>
      <c r="C105" s="937"/>
      <c r="D105" s="937"/>
      <c r="E105" s="937"/>
      <c r="F105" s="937"/>
      <c r="G105" s="937"/>
      <c r="H105" s="937"/>
      <c r="I105" s="937"/>
      <c r="J105" s="937"/>
      <c r="K105" s="937"/>
      <c r="L105" s="938"/>
      <c r="M105" s="907"/>
      <c r="N105" s="908"/>
      <c r="O105" s="798"/>
      <c r="P105" s="799"/>
      <c r="Q105" s="805"/>
      <c r="R105" s="235"/>
      <c r="S105" s="254"/>
      <c r="T105" s="1125" t="str">
        <f>"( Rs. "&amp;LOOKUP(IF(INT(RIGHT(Z104,7)/100000)&gt;19,INT(RIGHT(Z104,7)/1000000),IF(INT(RIGHT(Z104,7)/100000)&gt;=10,INT(RIGHT(Z104,7)/100000),0)),{0,1,2,3,4,5,6,7,8,9,10,11,12,13,14,15,16,17,18,19},{""," TEN "," TWENTY "," THIRTY "," FOURTY "," FIFTY "," SIXTY "," SEVENTY "," EIGHTY "," NINETY "," TEN "," ELEVEN "," TWELVE "," THIRTEEN "," FOURTEEN "," FIFTEEN "," SIXTEEN"," SEVENTEEN"," EIGHTEEN "," NINETEEN "})&amp;IF((IF(INT(RIGHT(Z104,7)/100000)&gt;19,INT(RIGHT(Z104,7)/1000000),IF(INT(RIGHT(Z104,7)/100000)&gt;=10,INT(RIGHT(Z104,7)/100000),0))+IF(INT(RIGHT(Z104,7)/100000)&gt;19,INT(RIGHT(Z104,6)/100000),IF(INT(RIGHT(Z104,7)/100000)&gt;10,0,INT(RIGHT(Z104,6)/100000))))&gt;0,LOOKUP(IF(INT(RIGHT(Z104,7)/100000)&gt;19,INT(RIGHT(Z104,6)/100000),IF(INT(RIGHT(Z104,7)/100000)&gt;10,0,INT(RIGHT(Z104,6)/100000))),{0,1,2,3,4,5,6,7,8,9,10,11,12,13,14,15,16,17,18,19},{""," ONE "," TWO "," THREE "," FOUR "," FIVE "," SIX "," SEVEN "," EIGHT "," NINE "," TEN "," ELEVEN "," TWELVE "," THIRTEEN "," FOURTEEN "," FIFTEEN "," SIXTEEN"," SEVENTEEN"," EIGHTEEN "," NINETEEN "})&amp;" Lac. "," ")&amp;LOOKUP(IF(INT(RIGHT(Z104,5)/1000)&gt;19,INT(RIGHT(Z104,5)/10000),IF(INT(RIGHT(Z104,5)/1000)&gt;=10,INT(RIGHT(Z104,5)/1000),0)),{0,1,2,3,4,5,6,7,8,9,10,11,12,13,14,15,16,17,18,19},{""," TEN "," TWENTY "," THIRTY "," FOURTY "," FIFTY "," SIXTY "," SEVENTY "," EIGHTY "," NINETY "," TEN "," ELEVEN "," TWELVE "," THIRTEEN "," FOURTEEN "," FIFTEEN "," SIXTEEN"," SEVENTEEN"," EIGHTEEN "," NINETEEN "})&amp;IF((IF(INT(RIGHT(Z104,5)/1000)&gt;19,INT(RIGHT(Z104,4)/1000),IF(INT(RIGHT(Z104,5)/1000)&gt;10,0,INT(RIGHT(Z104,4)/1000)))+IF(INT(RIGHT(Z104,5)/1000)&gt;19,INT(RIGHT(Z104,5)/10000),IF(INT(RIGHT(Z104,5)/1000)&gt;=10,INT(RIGHT(Z104,5)/1000),0)))&gt;0,LOOKUP(IF(INT(RIGHT(Z104,5)/1000)&gt;19,INT(RIGHT(Z104,4)/1000),IF(INT(RIGHT(Z104,5)/1000)&gt;10,0,INT(RIGHT(Z104,4)/1000))),{0,1,2,3,4,5,6,7,8,9,10,11,12,13,14,15,16,17,18,19},{""," ONE "," TWO "," THREE "," FOUR "," FIVE "," SIX "," SEVEN "," EIGHT "," NINE "," TEN "," ELEVEN "," TWELVE "," THIRTEEN "," FOURTEEN "," FIFTEEN "," SIXTEEN"," SEVENTEEN"," EIGHTEEN "," NINETEEN "})&amp;" Thousand "," ")&amp;IF((INT((RIGHT(Z104,3))/100))&gt;0,LOOKUP(INT((RIGHT(Z104,3))/100),{0,1,2,3,4,5,6,7,8,9,10,11,12,13,14,15,16,17,18,19},{""," ONE "," TWO "," THREE "," FOUR "," FIVE "," SIX "," SEVEN "," EIGHT "," NINE "," TEN "," ELEVEN "," TWELVE "," THIRTEEN "," FOURTEEN "," FIFTEEN "," SIXTEEN"," SEVENTEEN"," EIGHTEEN "," NINETEEN "})&amp;" Hundred "," ")&amp;LOOKUP(IF(INT(RIGHT(Z104,2))&gt;19,INT(RIGHT(Z104,2)/10),IF(INT(RIGHT(Z104,2))&gt;=10,INT(RIGHT(Z104,2)),0)),{0,1,2,3,4,5,6,7,8,9,10,11,12,13,14,15,16,17,18,19},{""," TEN "," TWENTY "," THIRTY "," FOURTY "," FIFTY "," SIXTY "," SEVENTY "," EIGHTY "," NINETY "," TEN "," ELEVEN "," TWELVE "," THIRTEEN "," FOURTEEN "," FIFTEEN "," SIXTEEN"," SEVENTEEN"," EIGHTEEN "," NINETEEN "})&amp;LOOKUP(IF(INT(RIGHT(Z104,2))&lt;10,INT(RIGHT(Z104,1)),IF(INT(RIGHT(Z104,2))&lt;20,0,INT(RIGHT(Z104,1)))),{0,1,2,3,4,5,6,7,8,9,10,11,12,13,14,15,16,17,18,19},{""," ONE "," TWO "," THREE "," FOUR "," FIVE "," SIX "," SEVEN "," EIGHT "," NINE "," TEN "," ELEVEN "," TWELVE "," THIRTEEN "," FOURTEEN "," FIFTEEN "," SIXTEEN"," SEVENTEEN"," EIGHTEEN "," NINETEEN "})&amp;" Only)"</f>
        <v>( Rs.   FOURTY  THREE  Thousand  FIVE  Hundred  TWENTY  SIX  Only)</v>
      </c>
      <c r="U105" s="1125"/>
      <c r="V105" s="1125"/>
      <c r="W105" s="1125"/>
      <c r="X105" s="1125"/>
      <c r="Y105" s="1125"/>
      <c r="Z105" s="1125"/>
      <c r="AA105" s="780" t="s">
        <v>310</v>
      </c>
      <c r="AB105" s="780"/>
      <c r="AC105" s="780"/>
      <c r="AD105" s="780"/>
      <c r="AE105" s="781"/>
      <c r="AF105" s="234"/>
      <c r="AG105" s="17"/>
    </row>
    <row r="106" spans="1:33" ht="19.350000000000001" customHeight="1">
      <c r="A106" s="939" t="s">
        <v>60</v>
      </c>
      <c r="B106" s="875"/>
      <c r="C106" s="875"/>
      <c r="D106" s="787"/>
      <c r="E106" s="260"/>
      <c r="F106" s="793" t="s">
        <v>88</v>
      </c>
      <c r="G106" s="792"/>
      <c r="H106" s="793" t="s">
        <v>52</v>
      </c>
      <c r="I106" s="791"/>
      <c r="J106" s="791"/>
      <c r="K106" s="791"/>
      <c r="L106" s="792"/>
      <c r="M106" s="907"/>
      <c r="N106" s="908"/>
      <c r="O106" s="800"/>
      <c r="P106" s="801"/>
      <c r="Q106" s="806"/>
      <c r="R106" s="235"/>
      <c r="S106" s="254"/>
      <c r="T106" s="768" t="s">
        <v>311</v>
      </c>
      <c r="U106" s="768"/>
      <c r="V106" s="768"/>
      <c r="W106" s="768"/>
      <c r="X106" s="768"/>
      <c r="Y106" s="768"/>
      <c r="Z106" s="768"/>
      <c r="AA106" s="768"/>
      <c r="AB106" s="768"/>
      <c r="AC106" s="768"/>
      <c r="AD106" s="768"/>
      <c r="AE106" s="769"/>
      <c r="AF106" s="234"/>
      <c r="AG106" s="17"/>
    </row>
    <row r="107" spans="1:33" ht="19.350000000000001" customHeight="1">
      <c r="A107" s="1102" t="s">
        <v>306</v>
      </c>
      <c r="B107" s="1103"/>
      <c r="C107" s="1103"/>
      <c r="D107" s="1104"/>
      <c r="E107" s="271"/>
      <c r="F107" s="775">
        <f>AB6</f>
        <v>0</v>
      </c>
      <c r="G107" s="776"/>
      <c r="H107" s="1096">
        <f>SUM(F107:G108)</f>
        <v>0</v>
      </c>
      <c r="I107" s="1097"/>
      <c r="J107" s="1097"/>
      <c r="K107" s="1097"/>
      <c r="L107" s="1098"/>
      <c r="M107" s="909"/>
      <c r="N107" s="910"/>
      <c r="O107" s="800"/>
      <c r="P107" s="801"/>
      <c r="Q107" s="806"/>
      <c r="R107" s="235"/>
      <c r="S107" s="410"/>
      <c r="T107" s="1119"/>
      <c r="U107" s="1119"/>
      <c r="V107" s="1119"/>
      <c r="W107" s="1119"/>
      <c r="X107" s="1119"/>
      <c r="Y107" s="1119"/>
      <c r="Z107" s="1119"/>
      <c r="AA107" s="1119"/>
      <c r="AB107" s="1119"/>
      <c r="AC107" s="1119"/>
      <c r="AD107" s="1119"/>
      <c r="AE107" s="411"/>
      <c r="AF107" s="234"/>
      <c r="AG107" s="17"/>
    </row>
    <row r="108" spans="1:33" ht="19.350000000000001" customHeight="1">
      <c r="A108" s="782" t="s">
        <v>143</v>
      </c>
      <c r="B108" s="783"/>
      <c r="C108" s="783"/>
      <c r="D108" s="784"/>
      <c r="E108" s="256"/>
      <c r="F108" s="773">
        <f>AB7</f>
        <v>0</v>
      </c>
      <c r="G108" s="1113"/>
      <c r="H108" s="1099"/>
      <c r="I108" s="1100"/>
      <c r="J108" s="1100"/>
      <c r="K108" s="1100"/>
      <c r="L108" s="1101"/>
      <c r="M108" s="775">
        <f>H107</f>
        <v>0</v>
      </c>
      <c r="N108" s="776"/>
      <c r="O108" s="802"/>
      <c r="P108" s="803"/>
      <c r="Q108" s="806"/>
      <c r="R108" s="235"/>
      <c r="S108" s="410"/>
      <c r="T108" s="1119"/>
      <c r="U108" s="1119"/>
      <c r="V108" s="1119"/>
      <c r="W108" s="1119"/>
      <c r="X108" s="1119"/>
      <c r="Y108" s="1119"/>
      <c r="Z108" s="1119"/>
      <c r="AA108" s="1119"/>
      <c r="AB108" s="1119"/>
      <c r="AC108" s="1119"/>
      <c r="AD108" s="1119"/>
      <c r="AE108" s="411"/>
      <c r="AF108" s="234"/>
      <c r="AG108" s="17"/>
    </row>
    <row r="109" spans="1:33" ht="19.350000000000001" customHeight="1">
      <c r="A109" s="896" t="s">
        <v>61</v>
      </c>
      <c r="B109" s="897"/>
      <c r="C109" s="897"/>
      <c r="D109" s="897"/>
      <c r="E109" s="897"/>
      <c r="F109" s="897"/>
      <c r="G109" s="897"/>
      <c r="H109" s="897"/>
      <c r="I109" s="897"/>
      <c r="J109" s="897"/>
      <c r="K109" s="897"/>
      <c r="L109" s="897"/>
      <c r="M109" s="897"/>
      <c r="N109" s="898"/>
      <c r="O109" s="775">
        <f>O104-M108</f>
        <v>724902</v>
      </c>
      <c r="P109" s="776"/>
      <c r="Q109" s="806"/>
      <c r="R109" s="235"/>
      <c r="S109" s="782" t="s">
        <v>126</v>
      </c>
      <c r="T109" s="784"/>
      <c r="U109" s="874" t="str">
        <f>'DDO '!L18</f>
        <v>Sujangarh</v>
      </c>
      <c r="V109" s="875"/>
      <c r="W109" s="787"/>
      <c r="X109" s="800"/>
      <c r="Y109" s="1119"/>
      <c r="Z109" s="1119"/>
      <c r="AA109" s="1119"/>
      <c r="AB109" s="1119"/>
      <c r="AC109" s="1119"/>
      <c r="AD109" s="1119"/>
      <c r="AE109" s="411"/>
      <c r="AF109" s="234"/>
      <c r="AG109" s="17"/>
    </row>
    <row r="110" spans="1:33" ht="19.350000000000001" customHeight="1">
      <c r="A110" s="891" t="s">
        <v>62</v>
      </c>
      <c r="B110" s="780"/>
      <c r="C110" s="892"/>
      <c r="D110" s="899" t="s">
        <v>63</v>
      </c>
      <c r="E110" s="899"/>
      <c r="F110" s="899"/>
      <c r="G110" s="899"/>
      <c r="H110" s="899"/>
      <c r="I110" s="899"/>
      <c r="J110" s="901">
        <f>W8</f>
        <v>0</v>
      </c>
      <c r="K110" s="901"/>
      <c r="L110" s="901"/>
      <c r="M110" s="1114"/>
      <c r="N110" s="1115"/>
      <c r="O110" s="1115"/>
      <c r="P110" s="1116"/>
      <c r="Q110" s="806"/>
      <c r="R110" s="235"/>
      <c r="S110" s="782" t="s">
        <v>215</v>
      </c>
      <c r="T110" s="784"/>
      <c r="U110" s="876">
        <f>'DDO '!M3</f>
        <v>42855</v>
      </c>
      <c r="V110" s="877"/>
      <c r="W110" s="878"/>
      <c r="X110" s="800"/>
      <c r="Y110" s="1119"/>
      <c r="Z110" s="1119"/>
      <c r="AA110" s="1119"/>
      <c r="AB110" s="1119"/>
      <c r="AC110" s="1119"/>
      <c r="AD110" s="1119"/>
      <c r="AE110" s="411"/>
      <c r="AF110" s="272"/>
      <c r="AG110" s="17"/>
    </row>
    <row r="111" spans="1:33" ht="19.350000000000001" customHeight="1">
      <c r="A111" s="893"/>
      <c r="B111" s="894"/>
      <c r="C111" s="895"/>
      <c r="D111" s="900" t="s">
        <v>139</v>
      </c>
      <c r="E111" s="900"/>
      <c r="F111" s="900"/>
      <c r="G111" s="900"/>
      <c r="H111" s="900"/>
      <c r="I111" s="900"/>
      <c r="J111" s="775">
        <f>AB8</f>
        <v>0</v>
      </c>
      <c r="K111" s="788"/>
      <c r="L111" s="776"/>
      <c r="M111" s="775">
        <f>SUM(J110:J111)</f>
        <v>0</v>
      </c>
      <c r="N111" s="776"/>
      <c r="O111" s="902">
        <f>O109-M111</f>
        <v>724902</v>
      </c>
      <c r="P111" s="847"/>
      <c r="Q111" s="806"/>
      <c r="R111" s="235"/>
      <c r="S111" s="249"/>
      <c r="T111" s="137"/>
      <c r="U111" s="137"/>
      <c r="V111" s="137"/>
      <c r="W111" s="137"/>
      <c r="X111" s="137"/>
      <c r="Y111" s="137"/>
      <c r="Z111" s="771" t="s">
        <v>53</v>
      </c>
      <c r="AA111" s="771"/>
      <c r="AB111" s="771"/>
      <c r="AC111" s="771"/>
      <c r="AD111" s="771"/>
      <c r="AE111" s="772"/>
      <c r="AF111" s="250"/>
      <c r="AG111" s="17"/>
    </row>
    <row r="112" spans="1:33" ht="19.350000000000001" customHeight="1" thickBot="1">
      <c r="A112" s="1133" t="s">
        <v>247</v>
      </c>
      <c r="B112" s="1134"/>
      <c r="C112" s="1134"/>
      <c r="D112" s="1134"/>
      <c r="E112" s="1134"/>
      <c r="F112" s="1134"/>
      <c r="G112" s="1123" t="s">
        <v>386</v>
      </c>
      <c r="H112" s="1123"/>
      <c r="I112" s="1107"/>
      <c r="J112" s="1105">
        <f>AB9</f>
        <v>0</v>
      </c>
      <c r="K112" s="1106"/>
      <c r="L112" s="1107"/>
      <c r="M112" s="1112">
        <f>J112</f>
        <v>0</v>
      </c>
      <c r="N112" s="1112"/>
      <c r="O112" s="1112">
        <f>O111+M112</f>
        <v>724902</v>
      </c>
      <c r="P112" s="1118"/>
      <c r="Q112" s="1117"/>
      <c r="R112" s="235"/>
      <c r="S112" s="1108" t="str">
        <f>'DDO '!A14</f>
        <v>E-mail ID of Office :-</v>
      </c>
      <c r="T112" s="1109"/>
      <c r="U112" s="1109"/>
      <c r="V112" s="1110" t="str">
        <f>'DDO '!L14</f>
        <v>pcbsugh@yahoo.in</v>
      </c>
      <c r="W112" s="1110"/>
      <c r="X112" s="1110"/>
      <c r="Y112" s="1111"/>
      <c r="Z112" s="1120" t="s">
        <v>54</v>
      </c>
      <c r="AA112" s="1121"/>
      <c r="AB112" s="1122" t="str">
        <f>'DDO '!L8</f>
        <v>LADURAM JAT</v>
      </c>
      <c r="AC112" s="1123"/>
      <c r="AD112" s="1123"/>
      <c r="AE112" s="1124"/>
      <c r="AF112" s="251"/>
      <c r="AG112" s="17"/>
    </row>
    <row r="113" spans="6:33" ht="6.75" customHeight="1">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G113" s="17"/>
    </row>
    <row r="114" spans="6:33" ht="18.95" hidden="1" customHeight="1">
      <c r="R114" s="7"/>
      <c r="T114" s="2"/>
    </row>
    <row r="115" spans="6:33" ht="18.95" hidden="1" customHeight="1">
      <c r="R115" s="7"/>
      <c r="V115" s="2"/>
    </row>
    <row r="116" spans="6:33" ht="20.100000000000001" hidden="1" customHeight="1">
      <c r="M116" s="8"/>
      <c r="N116" s="8"/>
      <c r="O116" s="8"/>
      <c r="P116" s="8"/>
      <c r="Q116" s="11"/>
      <c r="R116" s="7"/>
      <c r="S116" s="7"/>
      <c r="T116" s="7"/>
      <c r="U116" s="7"/>
      <c r="V116" s="7"/>
      <c r="W116" s="7"/>
      <c r="X116" s="60"/>
      <c r="Y116" s="8"/>
      <c r="Z116" s="8"/>
      <c r="AA116" s="7"/>
      <c r="AB116" s="7"/>
      <c r="AC116" s="7"/>
      <c r="AD116" s="7"/>
      <c r="AE116" s="7"/>
    </row>
    <row r="117" spans="6:33" ht="20.100000000000001" hidden="1" customHeight="1">
      <c r="O117" s="2"/>
      <c r="R117" s="7"/>
      <c r="X117" s="8"/>
      <c r="Y117" s="8"/>
      <c r="Z117" s="8"/>
      <c r="AA117" s="8"/>
      <c r="AB117" s="8"/>
      <c r="AC117" s="8"/>
      <c r="AD117" s="8"/>
      <c r="AE117" s="8"/>
      <c r="AF117" s="4"/>
      <c r="AG117" s="2"/>
    </row>
    <row r="118" spans="6:33" ht="20.100000000000001" hidden="1" customHeight="1">
      <c r="R118" s="7"/>
      <c r="T118" s="1092"/>
      <c r="U118" s="1092"/>
      <c r="V118" s="1092"/>
      <c r="W118" s="1092"/>
      <c r="X118" s="1092"/>
      <c r="Y118" s="1092"/>
      <c r="Z118" s="10"/>
      <c r="AA118" s="4"/>
      <c r="AB118" s="4"/>
      <c r="AC118" s="4"/>
      <c r="AD118" s="4"/>
      <c r="AE118" s="4"/>
      <c r="AG118" s="2"/>
    </row>
    <row r="119" spans="6:33" ht="15" hidden="1" customHeight="1">
      <c r="P119" s="2"/>
      <c r="R119" s="7"/>
      <c r="S119" s="7"/>
      <c r="T119" s="7"/>
      <c r="U119" s="7"/>
      <c r="V119" s="8"/>
      <c r="W119" s="7"/>
      <c r="X119" s="8"/>
      <c r="Y119" s="8"/>
      <c r="Z119" s="9"/>
      <c r="AA119" s="4"/>
      <c r="AB119" s="9"/>
      <c r="AC119" s="9"/>
      <c r="AD119" s="9"/>
      <c r="AE119" s="9"/>
      <c r="AG119" s="2"/>
    </row>
    <row r="120" spans="6:33" ht="15" hidden="1" customHeight="1">
      <c r="O120" s="2"/>
      <c r="R120" s="7"/>
      <c r="S120" s="8"/>
      <c r="T120" s="8"/>
      <c r="U120" s="8"/>
      <c r="V120" s="8"/>
      <c r="W120" s="8"/>
      <c r="X120" s="8"/>
      <c r="Y120" s="8"/>
      <c r="Z120" s="8"/>
      <c r="AA120" s="8"/>
      <c r="AB120" s="8"/>
      <c r="AC120" s="8"/>
      <c r="AD120" s="8"/>
      <c r="AE120" s="8"/>
      <c r="AF120" s="2"/>
      <c r="AG120" s="2"/>
    </row>
    <row r="121" spans="6:33" ht="15" hidden="1" customHeight="1">
      <c r="M121" s="2"/>
      <c r="N121" s="2"/>
      <c r="R121" s="7"/>
      <c r="S121" s="8"/>
      <c r="T121" s="8"/>
      <c r="U121" s="8"/>
      <c r="V121" s="8"/>
      <c r="W121" s="8"/>
      <c r="X121" s="8"/>
      <c r="Y121" s="8"/>
      <c r="Z121" s="8"/>
      <c r="AA121" s="8"/>
      <c r="AB121" s="8"/>
      <c r="AC121" s="8"/>
      <c r="AD121" s="8"/>
      <c r="AE121" s="8"/>
      <c r="AF121" s="2"/>
    </row>
    <row r="122" spans="6:33" ht="15" hidden="1" customHeight="1">
      <c r="M122" s="2"/>
      <c r="R122" s="7"/>
      <c r="S122" s="8"/>
      <c r="T122" s="8"/>
      <c r="U122" s="8"/>
      <c r="V122" s="8"/>
      <c r="W122" s="8"/>
      <c r="X122" s="8"/>
      <c r="Y122" s="8"/>
      <c r="Z122" s="8"/>
      <c r="AA122" s="8"/>
      <c r="AB122" s="8"/>
      <c r="AC122" s="8"/>
      <c r="AD122" s="8"/>
      <c r="AE122" s="8"/>
      <c r="AG122" s="2"/>
    </row>
    <row r="123" spans="6:33" ht="15" hidden="1" customHeight="1">
      <c r="Y123" s="2"/>
      <c r="Z123" s="2"/>
      <c r="AA123" s="2"/>
      <c r="AE123" s="2"/>
    </row>
    <row r="124" spans="6:33" ht="15" hidden="1" customHeight="1"/>
    <row r="125" spans="6:33" ht="15" hidden="1" customHeight="1"/>
    <row r="126" spans="6:33" ht="15" hidden="1" customHeight="1"/>
    <row r="127" spans="6:33" ht="15" hidden="1" customHeight="1"/>
    <row r="128" spans="6:33" ht="15" hidden="1" customHeight="1">
      <c r="T128" s="2"/>
      <c r="V128" s="2"/>
    </row>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sheetData>
  <sheetProtection password="CC21" sheet="1" objects="1" scenarios="1" selectLockedCells="1"/>
  <mergeCells count="589">
    <mergeCell ref="A2:D2"/>
    <mergeCell ref="F2:Q2"/>
    <mergeCell ref="S2:AE2"/>
    <mergeCell ref="A3:C3"/>
    <mergeCell ref="D3:I3"/>
    <mergeCell ref="J3:L3"/>
    <mergeCell ref="M3:O3"/>
    <mergeCell ref="P3:Q3"/>
    <mergeCell ref="S3:V3"/>
    <mergeCell ref="W3:Z3"/>
    <mergeCell ref="AA3:AF3"/>
    <mergeCell ref="A4:C4"/>
    <mergeCell ref="D4:I4"/>
    <mergeCell ref="J4:L5"/>
    <mergeCell ref="M4:O4"/>
    <mergeCell ref="P4:Q4"/>
    <mergeCell ref="S4:V4"/>
    <mergeCell ref="W4:Z4"/>
    <mergeCell ref="AA4:AF4"/>
    <mergeCell ref="A5:C5"/>
    <mergeCell ref="AB5:AC5"/>
    <mergeCell ref="AD5:AF5"/>
    <mergeCell ref="A6:Q6"/>
    <mergeCell ref="S6:AA6"/>
    <mergeCell ref="AB6:AC6"/>
    <mergeCell ref="AD6:AF6"/>
    <mergeCell ref="D5:I5"/>
    <mergeCell ref="M5:O5"/>
    <mergeCell ref="P5:Q5"/>
    <mergeCell ref="S5:V5"/>
    <mergeCell ref="W5:X5"/>
    <mergeCell ref="Y5:AA5"/>
    <mergeCell ref="H7:H8"/>
    <mergeCell ref="I7:I8"/>
    <mergeCell ref="J7:J8"/>
    <mergeCell ref="L7:L8"/>
    <mergeCell ref="M7:M8"/>
    <mergeCell ref="N7:N8"/>
    <mergeCell ref="A7:A8"/>
    <mergeCell ref="B7:B8"/>
    <mergeCell ref="C7:C8"/>
    <mergeCell ref="D7:D8"/>
    <mergeCell ref="F7:F8"/>
    <mergeCell ref="G7:G8"/>
    <mergeCell ref="O7:O8"/>
    <mergeCell ref="P7:P8"/>
    <mergeCell ref="Q7:Q8"/>
    <mergeCell ref="S7:AA7"/>
    <mergeCell ref="AB7:AC7"/>
    <mergeCell ref="AD7:AF7"/>
    <mergeCell ref="S8:V8"/>
    <mergeCell ref="W8:X8"/>
    <mergeCell ref="Y8:AA8"/>
    <mergeCell ref="AB8:AC8"/>
    <mergeCell ref="AD8:AF8"/>
    <mergeCell ref="S9:Y9"/>
    <mergeCell ref="Z9:AA9"/>
    <mergeCell ref="AB9:AC9"/>
    <mergeCell ref="AD9:AF9"/>
    <mergeCell ref="T10:U10"/>
    <mergeCell ref="V10:X10"/>
    <mergeCell ref="Y10:AA10"/>
    <mergeCell ref="AB10:AC10"/>
    <mergeCell ref="AD10:AE10"/>
    <mergeCell ref="AD12:AE12"/>
    <mergeCell ref="S13:T13"/>
    <mergeCell ref="U13:V13"/>
    <mergeCell ref="W13:X13"/>
    <mergeCell ref="Y13:AA13"/>
    <mergeCell ref="AB13:AC13"/>
    <mergeCell ref="AD13:AF13"/>
    <mergeCell ref="T11:U11"/>
    <mergeCell ref="V11:X11"/>
    <mergeCell ref="Y11:AA11"/>
    <mergeCell ref="AB11:AC11"/>
    <mergeCell ref="AD11:AF11"/>
    <mergeCell ref="S12:T12"/>
    <mergeCell ref="U12:V12"/>
    <mergeCell ref="W12:X12"/>
    <mergeCell ref="Y12:AA12"/>
    <mergeCell ref="AB12:AC12"/>
    <mergeCell ref="S17:U17"/>
    <mergeCell ref="V17:W17"/>
    <mergeCell ref="X17:AC17"/>
    <mergeCell ref="AD17:AF17"/>
    <mergeCell ref="S18:U18"/>
    <mergeCell ref="V18:W18"/>
    <mergeCell ref="X18:AC18"/>
    <mergeCell ref="AD18:AF18"/>
    <mergeCell ref="S14:Z14"/>
    <mergeCell ref="AA14:AC14"/>
    <mergeCell ref="AD14:AF14"/>
    <mergeCell ref="S15:AC15"/>
    <mergeCell ref="AD15:AF15"/>
    <mergeCell ref="S16:AF16"/>
    <mergeCell ref="S19:U19"/>
    <mergeCell ref="V19:W19"/>
    <mergeCell ref="X19:AC19"/>
    <mergeCell ref="AD19:AF19"/>
    <mergeCell ref="S20:U20"/>
    <mergeCell ref="V20:W20"/>
    <mergeCell ref="X20:AC20"/>
    <mergeCell ref="AD20:AF20"/>
    <mergeCell ref="A21:B21"/>
    <mergeCell ref="S21:U21"/>
    <mergeCell ref="V21:W21"/>
    <mergeCell ref="X21:AC21"/>
    <mergeCell ref="H23:H24"/>
    <mergeCell ref="I23:I24"/>
    <mergeCell ref="J23:J24"/>
    <mergeCell ref="L23:L24"/>
    <mergeCell ref="M23:M24"/>
    <mergeCell ref="N23:N24"/>
    <mergeCell ref="AD21:AF21"/>
    <mergeCell ref="A22:Q22"/>
    <mergeCell ref="S22:U22"/>
    <mergeCell ref="V22:W22"/>
    <mergeCell ref="X22:AC22"/>
    <mergeCell ref="AD22:AF22"/>
    <mergeCell ref="A23:A24"/>
    <mergeCell ref="B23:B24"/>
    <mergeCell ref="C23:C24"/>
    <mergeCell ref="D23:D24"/>
    <mergeCell ref="F23:F24"/>
    <mergeCell ref="G23:G24"/>
    <mergeCell ref="AD26:AF26"/>
    <mergeCell ref="O23:O24"/>
    <mergeCell ref="P23:P24"/>
    <mergeCell ref="Q23:Q24"/>
    <mergeCell ref="S23:U23"/>
    <mergeCell ref="V23:W23"/>
    <mergeCell ref="AD27:AF27"/>
    <mergeCell ref="AB28:AC28"/>
    <mergeCell ref="AD28:AF28"/>
    <mergeCell ref="AD23:AF23"/>
    <mergeCell ref="S24:U24"/>
    <mergeCell ref="V24:W24"/>
    <mergeCell ref="X24:AC24"/>
    <mergeCell ref="AD24:AF24"/>
    <mergeCell ref="S25:U25"/>
    <mergeCell ref="V25:W25"/>
    <mergeCell ref="X25:AC25"/>
    <mergeCell ref="AD25:AF25"/>
    <mergeCell ref="X23:AC23"/>
    <mergeCell ref="S26:AA26"/>
    <mergeCell ref="AB26:AC26"/>
    <mergeCell ref="S27:AA27"/>
    <mergeCell ref="AB27:AC27"/>
    <mergeCell ref="S31:AA31"/>
    <mergeCell ref="AB31:AC31"/>
    <mergeCell ref="AD31:AF31"/>
    <mergeCell ref="S32:AA32"/>
    <mergeCell ref="AB32:AC32"/>
    <mergeCell ref="AD32:AF32"/>
    <mergeCell ref="S29:AA29"/>
    <mergeCell ref="AB29:AC29"/>
    <mergeCell ref="AD29:AF29"/>
    <mergeCell ref="S30:AA30"/>
    <mergeCell ref="AB30:AC30"/>
    <mergeCell ref="AD30:AF30"/>
    <mergeCell ref="S35:AA35"/>
    <mergeCell ref="AB35:AC35"/>
    <mergeCell ref="AD35:AF35"/>
    <mergeCell ref="S36:AA36"/>
    <mergeCell ref="AB36:AC36"/>
    <mergeCell ref="AD36:AF36"/>
    <mergeCell ref="S33:AA33"/>
    <mergeCell ref="AB33:AC33"/>
    <mergeCell ref="AD33:AF33"/>
    <mergeCell ref="S34:AA34"/>
    <mergeCell ref="AB34:AC34"/>
    <mergeCell ref="AD34:AF34"/>
    <mergeCell ref="A37:B37"/>
    <mergeCell ref="S37:AA37"/>
    <mergeCell ref="AB37:AC37"/>
    <mergeCell ref="AD37:AF37"/>
    <mergeCell ref="A38:B38"/>
    <mergeCell ref="C38:D38"/>
    <mergeCell ref="G38:I38"/>
    <mergeCell ref="J38:L38"/>
    <mergeCell ref="N38:O38"/>
    <mergeCell ref="P38:Q38"/>
    <mergeCell ref="S38:AC38"/>
    <mergeCell ref="AD38:AF38"/>
    <mergeCell ref="A39:Q39"/>
    <mergeCell ref="S39:AC39"/>
    <mergeCell ref="AD39:AF39"/>
    <mergeCell ref="A40:D40"/>
    <mergeCell ref="F40:I40"/>
    <mergeCell ref="J40:O40"/>
    <mergeCell ref="P40:Q40"/>
    <mergeCell ref="S40:AC40"/>
    <mergeCell ref="A42:D42"/>
    <mergeCell ref="F42:I42"/>
    <mergeCell ref="J42:O42"/>
    <mergeCell ref="P42:Q42"/>
    <mergeCell ref="S42:AC42"/>
    <mergeCell ref="AD42:AF42"/>
    <mergeCell ref="AD40:AF40"/>
    <mergeCell ref="A41:D41"/>
    <mergeCell ref="F41:I41"/>
    <mergeCell ref="J41:O41"/>
    <mergeCell ref="P41:Q41"/>
    <mergeCell ref="S41:AC41"/>
    <mergeCell ref="AD41:AF41"/>
    <mergeCell ref="X43:Z43"/>
    <mergeCell ref="AA43:AC43"/>
    <mergeCell ref="AD43:AF43"/>
    <mergeCell ref="A44:D44"/>
    <mergeCell ref="F44:I44"/>
    <mergeCell ref="J44:O44"/>
    <mergeCell ref="P44:Q44"/>
    <mergeCell ref="S44:AC44"/>
    <mergeCell ref="AD44:AF44"/>
    <mergeCell ref="A43:D43"/>
    <mergeCell ref="F43:I43"/>
    <mergeCell ref="J43:O43"/>
    <mergeCell ref="P43:Q43"/>
    <mergeCell ref="S43:T43"/>
    <mergeCell ref="U43:W43"/>
    <mergeCell ref="A46:D46"/>
    <mergeCell ref="F46:I46"/>
    <mergeCell ref="J46:O46"/>
    <mergeCell ref="P46:Q46"/>
    <mergeCell ref="S46:AC46"/>
    <mergeCell ref="AD46:AF46"/>
    <mergeCell ref="A45:D45"/>
    <mergeCell ref="F45:I45"/>
    <mergeCell ref="J45:O45"/>
    <mergeCell ref="P45:Q45"/>
    <mergeCell ref="S45:AC45"/>
    <mergeCell ref="AD45:AF45"/>
    <mergeCell ref="I49:J49"/>
    <mergeCell ref="L49:N49"/>
    <mergeCell ref="O49:P49"/>
    <mergeCell ref="S49:U49"/>
    <mergeCell ref="V49:X49"/>
    <mergeCell ref="Y49:AA49"/>
    <mergeCell ref="F49:H49"/>
    <mergeCell ref="A47:J47"/>
    <mergeCell ref="L47:N47"/>
    <mergeCell ref="O47:P47"/>
    <mergeCell ref="Q47:Q48"/>
    <mergeCell ref="S47:AE47"/>
    <mergeCell ref="A48:B48"/>
    <mergeCell ref="C48:D48"/>
    <mergeCell ref="I48:J48"/>
    <mergeCell ref="L48:N48"/>
    <mergeCell ref="O48:P48"/>
    <mergeCell ref="S48:U48"/>
    <mergeCell ref="V48:X48"/>
    <mergeCell ref="Y48:AA48"/>
    <mergeCell ref="AB48:AE48"/>
    <mergeCell ref="F48:H48"/>
    <mergeCell ref="AB49:AE49"/>
    <mergeCell ref="A49:B49"/>
    <mergeCell ref="O52:P52"/>
    <mergeCell ref="S52:AC52"/>
    <mergeCell ref="AD52:AF52"/>
    <mergeCell ref="O50:P50"/>
    <mergeCell ref="Q50:Q55"/>
    <mergeCell ref="S50:AC50"/>
    <mergeCell ref="AD50:AF50"/>
    <mergeCell ref="A51:B51"/>
    <mergeCell ref="C51:D51"/>
    <mergeCell ref="I51:J51"/>
    <mergeCell ref="L51:N51"/>
    <mergeCell ref="O51:P51"/>
    <mergeCell ref="F50:H50"/>
    <mergeCell ref="F51:H51"/>
    <mergeCell ref="F52:J52"/>
    <mergeCell ref="A53:H53"/>
    <mergeCell ref="A54:H54"/>
    <mergeCell ref="C49:D49"/>
    <mergeCell ref="AB53:AE53"/>
    <mergeCell ref="I54:J54"/>
    <mergeCell ref="O54:P54"/>
    <mergeCell ref="AB54:AE54"/>
    <mergeCell ref="A55:G55"/>
    <mergeCell ref="I55:J55"/>
    <mergeCell ref="L55:N55"/>
    <mergeCell ref="O55:P55"/>
    <mergeCell ref="S55:V55"/>
    <mergeCell ref="I53:J53"/>
    <mergeCell ref="L53:N53"/>
    <mergeCell ref="O53:P53"/>
    <mergeCell ref="S53:V53"/>
    <mergeCell ref="W53:AA55"/>
    <mergeCell ref="A50:B50"/>
    <mergeCell ref="C50:D50"/>
    <mergeCell ref="I50:J50"/>
    <mergeCell ref="L50:N50"/>
    <mergeCell ref="S51:AC51"/>
    <mergeCell ref="AD51:AF51"/>
    <mergeCell ref="A52:B52"/>
    <mergeCell ref="C52:D52"/>
    <mergeCell ref="L52:N52"/>
    <mergeCell ref="AD58:AE58"/>
    <mergeCell ref="A59:Q59"/>
    <mergeCell ref="S59:AA59"/>
    <mergeCell ref="AB59:AC59"/>
    <mergeCell ref="AD59:AF59"/>
    <mergeCell ref="AB55:AE55"/>
    <mergeCell ref="A56:AE56"/>
    <mergeCell ref="A57:Q57"/>
    <mergeCell ref="S57:S58"/>
    <mergeCell ref="T57:U57"/>
    <mergeCell ref="V57:X57"/>
    <mergeCell ref="AB57:AC57"/>
    <mergeCell ref="AD57:AE57"/>
    <mergeCell ref="A58:Q58"/>
    <mergeCell ref="T58:U58"/>
    <mergeCell ref="J60:Q60"/>
    <mergeCell ref="S60:AA60"/>
    <mergeCell ref="AB60:AC60"/>
    <mergeCell ref="A61:C61"/>
    <mergeCell ref="D61:I61"/>
    <mergeCell ref="J61:N61"/>
    <mergeCell ref="O61:Q61"/>
    <mergeCell ref="S61:AA61"/>
    <mergeCell ref="V58:X58"/>
    <mergeCell ref="Y58:AA58"/>
    <mergeCell ref="AB58:AC58"/>
    <mergeCell ref="S65:AA65"/>
    <mergeCell ref="AB65:AC65"/>
    <mergeCell ref="AD65:AE65"/>
    <mergeCell ref="AB63:AC63"/>
    <mergeCell ref="A64:I64"/>
    <mergeCell ref="J64:M64"/>
    <mergeCell ref="N64:Q64"/>
    <mergeCell ref="S64:AC64"/>
    <mergeCell ref="AD64:AE64"/>
    <mergeCell ref="A63:C63"/>
    <mergeCell ref="D63:I63"/>
    <mergeCell ref="J63:N63"/>
    <mergeCell ref="O63:Q63"/>
    <mergeCell ref="S63:X63"/>
    <mergeCell ref="Y63:AA63"/>
    <mergeCell ref="AD60:AE63"/>
    <mergeCell ref="AB61:AC62"/>
    <mergeCell ref="A62:C62"/>
    <mergeCell ref="D62:I62"/>
    <mergeCell ref="J62:N62"/>
    <mergeCell ref="O62:Q62"/>
    <mergeCell ref="S62:X62"/>
    <mergeCell ref="Y62:AA62"/>
    <mergeCell ref="A60:I60"/>
    <mergeCell ref="A66:Q66"/>
    <mergeCell ref="A67:B68"/>
    <mergeCell ref="C67:G68"/>
    <mergeCell ref="H67:I68"/>
    <mergeCell ref="J67:M68"/>
    <mergeCell ref="N67:O68"/>
    <mergeCell ref="P67:Q68"/>
    <mergeCell ref="A65:I65"/>
    <mergeCell ref="J65:M65"/>
    <mergeCell ref="N65:Q65"/>
    <mergeCell ref="S67:Y67"/>
    <mergeCell ref="Z67:AA67"/>
    <mergeCell ref="AB67:AC80"/>
    <mergeCell ref="AD67:AE80"/>
    <mergeCell ref="S68:Y68"/>
    <mergeCell ref="Z68:AA68"/>
    <mergeCell ref="S69:Y69"/>
    <mergeCell ref="Z69:AA69"/>
    <mergeCell ref="S70:Y70"/>
    <mergeCell ref="Z70:AA70"/>
    <mergeCell ref="A70:B70"/>
    <mergeCell ref="C70:G70"/>
    <mergeCell ref="H70:I70"/>
    <mergeCell ref="J70:M70"/>
    <mergeCell ref="N70:O70"/>
    <mergeCell ref="P70:Q70"/>
    <mergeCell ref="A69:B69"/>
    <mergeCell ref="C69:G69"/>
    <mergeCell ref="H69:I69"/>
    <mergeCell ref="J69:M69"/>
    <mergeCell ref="N69:O69"/>
    <mergeCell ref="P69:Q69"/>
    <mergeCell ref="A73:I73"/>
    <mergeCell ref="J73:M73"/>
    <mergeCell ref="N73:O73"/>
    <mergeCell ref="P73:Q73"/>
    <mergeCell ref="S73:Y73"/>
    <mergeCell ref="Z73:AA73"/>
    <mergeCell ref="S71:Y71"/>
    <mergeCell ref="Z71:AA71"/>
    <mergeCell ref="A72:B72"/>
    <mergeCell ref="C72:G72"/>
    <mergeCell ref="H72:I72"/>
    <mergeCell ref="J72:M72"/>
    <mergeCell ref="N72:O72"/>
    <mergeCell ref="P72:Q72"/>
    <mergeCell ref="S72:Y72"/>
    <mergeCell ref="Z72:AA72"/>
    <mergeCell ref="A71:B71"/>
    <mergeCell ref="C71:G71"/>
    <mergeCell ref="H71:I71"/>
    <mergeCell ref="J71:M71"/>
    <mergeCell ref="N71:O71"/>
    <mergeCell ref="P71:Q71"/>
    <mergeCell ref="A76:C76"/>
    <mergeCell ref="S76:Y76"/>
    <mergeCell ref="Z76:AA76"/>
    <mergeCell ref="A77:C77"/>
    <mergeCell ref="S77:Y77"/>
    <mergeCell ref="Z77:AA77"/>
    <mergeCell ref="A74:Q74"/>
    <mergeCell ref="S74:Y74"/>
    <mergeCell ref="Z74:AA74"/>
    <mergeCell ref="A75:C75"/>
    <mergeCell ref="S75:Y75"/>
    <mergeCell ref="Z75:AA75"/>
    <mergeCell ref="A80:C80"/>
    <mergeCell ref="S80:Y80"/>
    <mergeCell ref="Z80:AA80"/>
    <mergeCell ref="A81:Q81"/>
    <mergeCell ref="S81:Y81"/>
    <mergeCell ref="Z81:AA81"/>
    <mergeCell ref="A78:C78"/>
    <mergeCell ref="S78:Y78"/>
    <mergeCell ref="Z78:AA78"/>
    <mergeCell ref="A79:C79"/>
    <mergeCell ref="S79:Y79"/>
    <mergeCell ref="Z79:AA79"/>
    <mergeCell ref="AB81:AC81"/>
    <mergeCell ref="AD81:AE81"/>
    <mergeCell ref="A82:A83"/>
    <mergeCell ref="B82:D83"/>
    <mergeCell ref="F82:I83"/>
    <mergeCell ref="J82:M83"/>
    <mergeCell ref="N82:O83"/>
    <mergeCell ref="P82:Q83"/>
    <mergeCell ref="S83:Y83"/>
    <mergeCell ref="Z83:AA83"/>
    <mergeCell ref="AB83:AC83"/>
    <mergeCell ref="AD83:AE91"/>
    <mergeCell ref="B84:D84"/>
    <mergeCell ref="F84:I84"/>
    <mergeCell ref="J84:M84"/>
    <mergeCell ref="N84:O84"/>
    <mergeCell ref="P84:Q84"/>
    <mergeCell ref="S84:Y84"/>
    <mergeCell ref="Z84:AA84"/>
    <mergeCell ref="AB84:AC84"/>
    <mergeCell ref="Z85:AA85"/>
    <mergeCell ref="AB85:AC85"/>
    <mergeCell ref="B86:D86"/>
    <mergeCell ref="F86:I86"/>
    <mergeCell ref="J86:M86"/>
    <mergeCell ref="N86:O86"/>
    <mergeCell ref="P86:Q86"/>
    <mergeCell ref="S86:Y86"/>
    <mergeCell ref="Z86:AA86"/>
    <mergeCell ref="AB86:AC86"/>
    <mergeCell ref="B85:D85"/>
    <mergeCell ref="F85:I85"/>
    <mergeCell ref="J85:M85"/>
    <mergeCell ref="N85:O85"/>
    <mergeCell ref="P85:Q85"/>
    <mergeCell ref="S85:Y85"/>
    <mergeCell ref="Z87:AA87"/>
    <mergeCell ref="AB87:AC87"/>
    <mergeCell ref="B88:D88"/>
    <mergeCell ref="F88:Q88"/>
    <mergeCell ref="S88:Y88"/>
    <mergeCell ref="Z88:AA88"/>
    <mergeCell ref="AB88:AC88"/>
    <mergeCell ref="B87:D87"/>
    <mergeCell ref="F87:I87"/>
    <mergeCell ref="J87:M87"/>
    <mergeCell ref="N87:O87"/>
    <mergeCell ref="P87:Q87"/>
    <mergeCell ref="S87:Y87"/>
    <mergeCell ref="A89:Q89"/>
    <mergeCell ref="S89:Y89"/>
    <mergeCell ref="Z89:AA89"/>
    <mergeCell ref="AB89:AC89"/>
    <mergeCell ref="B90:D90"/>
    <mergeCell ref="F90:I90"/>
    <mergeCell ref="J90:N90"/>
    <mergeCell ref="O90:Q90"/>
    <mergeCell ref="S90:Y90"/>
    <mergeCell ref="Z90:AA90"/>
    <mergeCell ref="B92:J92"/>
    <mergeCell ref="L92:Q92"/>
    <mergeCell ref="S92:AC92"/>
    <mergeCell ref="AD92:AE92"/>
    <mergeCell ref="B93:Q94"/>
    <mergeCell ref="S93:AC93"/>
    <mergeCell ref="AD93:AE93"/>
    <mergeCell ref="S94:AE94"/>
    <mergeCell ref="AB90:AC90"/>
    <mergeCell ref="B91:C91"/>
    <mergeCell ref="D91:J91"/>
    <mergeCell ref="L91:N91"/>
    <mergeCell ref="O91:Q91"/>
    <mergeCell ref="S91:Y91"/>
    <mergeCell ref="Z91:AA91"/>
    <mergeCell ref="AB91:AC91"/>
    <mergeCell ref="A95:B95"/>
    <mergeCell ref="C95:G95"/>
    <mergeCell ref="H95:Q95"/>
    <mergeCell ref="S95:AC95"/>
    <mergeCell ref="AD95:AE95"/>
    <mergeCell ref="A96:B96"/>
    <mergeCell ref="C96:G96"/>
    <mergeCell ref="H96:J96"/>
    <mergeCell ref="L96:Q96"/>
    <mergeCell ref="S96:AC96"/>
    <mergeCell ref="A98:Q98"/>
    <mergeCell ref="S98:AC98"/>
    <mergeCell ref="AD98:AE98"/>
    <mergeCell ref="A99:Q99"/>
    <mergeCell ref="S99:AC99"/>
    <mergeCell ref="AD99:AE99"/>
    <mergeCell ref="AD96:AE96"/>
    <mergeCell ref="A97:J97"/>
    <mergeCell ref="L97:M97"/>
    <mergeCell ref="N97:Q97"/>
    <mergeCell ref="S97:AC97"/>
    <mergeCell ref="AD97:AE97"/>
    <mergeCell ref="A100:L100"/>
    <mergeCell ref="M100:N100"/>
    <mergeCell ref="O100:P103"/>
    <mergeCell ref="Q100:Q103"/>
    <mergeCell ref="S100:AC100"/>
    <mergeCell ref="AD100:AE100"/>
    <mergeCell ref="A101:L101"/>
    <mergeCell ref="M101:N101"/>
    <mergeCell ref="S101:AE101"/>
    <mergeCell ref="A102:L102"/>
    <mergeCell ref="M110:P110"/>
    <mergeCell ref="S110:T110"/>
    <mergeCell ref="U110:W110"/>
    <mergeCell ref="D111:I111"/>
    <mergeCell ref="M102:N102"/>
    <mergeCell ref="S102:AE102"/>
    <mergeCell ref="A103:L103"/>
    <mergeCell ref="M103:N103"/>
    <mergeCell ref="T103:V103"/>
    <mergeCell ref="W103:Y103"/>
    <mergeCell ref="Z103:AB103"/>
    <mergeCell ref="AC103:AE103"/>
    <mergeCell ref="V104:Y104"/>
    <mergeCell ref="Z104:AB104"/>
    <mergeCell ref="AC104:AE104"/>
    <mergeCell ref="A105:L105"/>
    <mergeCell ref="O105:P108"/>
    <mergeCell ref="Q105:Q112"/>
    <mergeCell ref="T105:Z105"/>
    <mergeCell ref="F108:G108"/>
    <mergeCell ref="M108:N108"/>
    <mergeCell ref="A109:N109"/>
    <mergeCell ref="O109:P109"/>
    <mergeCell ref="S109:T109"/>
    <mergeCell ref="U109:W109"/>
    <mergeCell ref="AA105:AE105"/>
    <mergeCell ref="A106:D106"/>
    <mergeCell ref="F106:G106"/>
    <mergeCell ref="H106:L106"/>
    <mergeCell ref="T106:AE106"/>
    <mergeCell ref="A107:D107"/>
    <mergeCell ref="F107:G107"/>
    <mergeCell ref="H107:L108"/>
    <mergeCell ref="A1:D1"/>
    <mergeCell ref="AB112:AE112"/>
    <mergeCell ref="T118:Y118"/>
    <mergeCell ref="O111:P111"/>
    <mergeCell ref="Z111:AE111"/>
    <mergeCell ref="A112:F112"/>
    <mergeCell ref="G112:I112"/>
    <mergeCell ref="J112:L112"/>
    <mergeCell ref="M112:N112"/>
    <mergeCell ref="O112:P112"/>
    <mergeCell ref="S112:U112"/>
    <mergeCell ref="V112:Y112"/>
    <mergeCell ref="Z112:AA112"/>
    <mergeCell ref="S107:AE108"/>
    <mergeCell ref="A108:D108"/>
    <mergeCell ref="X109:AE110"/>
    <mergeCell ref="A110:C111"/>
    <mergeCell ref="D110:I110"/>
    <mergeCell ref="J110:L110"/>
    <mergeCell ref="J111:L111"/>
    <mergeCell ref="M111:N111"/>
    <mergeCell ref="A104:L104"/>
    <mergeCell ref="M104:N107"/>
    <mergeCell ref="O104:P104"/>
  </mergeCells>
  <hyperlinks>
    <hyperlink ref="A1:D1" location="'I-Tax Master'!A1" tooltip=" " display="Back To Main Menu"/>
  </hyperlinks>
  <pageMargins left="0.95" right="0" top="0.75" bottom="0.75" header="0" footer="0"/>
  <pageSetup paperSize="9" scale="70" pageOrder="overThenDown" orientation="portrait" r:id="rId1"/>
  <headerFooter>
    <oddFooter>&amp;C&amp;"Brush Script MT,Regular"by dks kumawat/income tax/2016-17</oddFooter>
  </headerFooter>
  <ignoredErrors>
    <ignoredError sqref="C10:L12 D27:P36 C14:L20 D13:L13 C9:K9 D25:N25 P25 D26:N26 P26" unlockedFormula="1"/>
    <ignoredError sqref="C13" formula="1" unlockedFormula="1"/>
    <ignoredError sqref="AD31 AD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I-Tax Master</vt:lpstr>
      <vt:lpstr>Rules</vt:lpstr>
      <vt:lpstr>DDO </vt:lpstr>
      <vt:lpstr>Emp.-Detail</vt:lpstr>
      <vt:lpstr>Emp-1</vt:lpstr>
      <vt:lpstr>Emp-2</vt:lpstr>
      <vt:lpstr>Emp-3</vt:lpstr>
      <vt:lpstr>Emp-4</vt:lpstr>
      <vt:lpstr>Emp-5</vt:lpstr>
      <vt:lpstr>Emp-6</vt:lpstr>
      <vt:lpstr>Emp-7</vt:lpstr>
      <vt:lpstr>Emp-8</vt:lpstr>
      <vt:lpstr>Emp-9</vt:lpstr>
      <vt:lpstr>Emp-10</vt:lpstr>
      <vt:lpstr>Emp-11</vt:lpstr>
      <vt:lpstr>Emp-12</vt:lpstr>
      <vt:lpstr>Emp-13</vt:lpstr>
      <vt:lpstr>Emp-14</vt:lpstr>
      <vt:lpstr>Emp-15</vt:lpstr>
      <vt:lpstr>Emp-16</vt:lpstr>
      <vt:lpstr>Emp-17</vt:lpstr>
      <vt:lpstr>Emp-18</vt:lpstr>
      <vt:lpstr>Emp-19</vt:lpstr>
      <vt:lpstr>Emp-20</vt:lpstr>
      <vt:lpstr>Q-I</vt:lpstr>
      <vt:lpstr>Q-II</vt:lpstr>
      <vt:lpstr>Q-III</vt:lpstr>
      <vt:lpstr>Q-IV</vt:lpstr>
      <vt:lpstr>ALL-Q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dfghf</dc:creator>
  <cp:lastModifiedBy>Ganapati Computer</cp:lastModifiedBy>
  <cp:lastPrinted>2016-08-28T11:35:09Z</cp:lastPrinted>
  <dcterms:created xsi:type="dcterms:W3CDTF">2016-02-26T13:27:44Z</dcterms:created>
  <dcterms:modified xsi:type="dcterms:W3CDTF">2016-08-28T11:35:23Z</dcterms:modified>
</cp:coreProperties>
</file>